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650032\Downloads\"/>
    </mc:Choice>
  </mc:AlternateContent>
  <xr:revisionPtr revIDLastSave="0" documentId="13_ncr:1_{59F31C86-C0A4-4E36-83B5-60EE70009D69}" xr6:coauthVersionLast="47" xr6:coauthVersionMax="47" xr10:uidLastSave="{00000000-0000-0000-0000-000000000000}"/>
  <workbookProtection workbookAlgorithmName="SHA-512" workbookHashValue="7Q9ZNjS494LUjBsajf2nmogElUwHouvXpJtGSzfp/MEA4Pn17DQsUFBh+22DsCT6DgRiz/alFQ5bJgTZZmHRsw==" workbookSaltValue="jP9T4mgSqo/ubmfWiVSLlw==" workbookSpinCount="100000" lockStructure="1"/>
  <bookViews>
    <workbookView xWindow="-120" yWindow="-120" windowWidth="29040" windowHeight="15720" tabRatio="745" xr2:uid="{BFBE46DA-E2A1-8A42-A1AC-C4EAF498E408}"/>
  </bookViews>
  <sheets>
    <sheet name="TLS RA Calculator" sheetId="7" r:id="rId1"/>
    <sheet name="2026 AMI LA County" sheetId="1" r:id="rId2"/>
    <sheet name="Track 1 TLS RA Schedule" sheetId="3" r:id="rId3"/>
    <sheet name="Track 2 TLS RA Schedule" sheetId="4" r:id="rId4"/>
    <sheet name="Track 3 TLS RA Schedule" sheetId="5" r:id="rId5"/>
    <sheet name="Reference Table" sheetId="6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O2" i="5" l="1"/>
  <c r="O3" i="5"/>
  <c r="O4" i="5"/>
  <c r="O5" i="5"/>
  <c r="O6" i="5"/>
  <c r="O7" i="5"/>
  <c r="O8" i="5"/>
  <c r="O9" i="5"/>
  <c r="N2" i="5"/>
  <c r="N3" i="5"/>
  <c r="N4" i="5"/>
  <c r="N5" i="5"/>
  <c r="N6" i="5"/>
  <c r="N7" i="5"/>
  <c r="N8" i="5"/>
  <c r="N9" i="5"/>
  <c r="M2" i="5"/>
  <c r="M3" i="5"/>
  <c r="M4" i="5"/>
  <c r="M5" i="5"/>
  <c r="M6" i="5"/>
  <c r="M7" i="5"/>
  <c r="M8" i="5"/>
  <c r="M9" i="5"/>
  <c r="L2" i="5"/>
  <c r="L3" i="5"/>
  <c r="L4" i="5"/>
  <c r="L5" i="5"/>
  <c r="L6" i="5"/>
  <c r="L7" i="5"/>
  <c r="L8" i="5"/>
  <c r="L9" i="5"/>
  <c r="K2" i="5"/>
  <c r="K3" i="5"/>
  <c r="K4" i="5"/>
  <c r="K5" i="5"/>
  <c r="K6" i="5"/>
  <c r="K7" i="5"/>
  <c r="K8" i="5"/>
  <c r="K9" i="5"/>
  <c r="J2" i="5"/>
  <c r="J3" i="5"/>
  <c r="J4" i="5"/>
  <c r="J5" i="5"/>
  <c r="J6" i="5"/>
  <c r="J7" i="5"/>
  <c r="J8" i="5"/>
  <c r="J9" i="5"/>
  <c r="I2" i="5"/>
  <c r="I3" i="5"/>
  <c r="I4" i="5"/>
  <c r="I5" i="5"/>
  <c r="I6" i="5"/>
  <c r="I7" i="5"/>
  <c r="I8" i="5"/>
  <c r="I9" i="5"/>
  <c r="H2" i="5"/>
  <c r="H3" i="5"/>
  <c r="H4" i="5"/>
  <c r="H5" i="5"/>
  <c r="H6" i="5"/>
  <c r="H7" i="5"/>
  <c r="H8" i="5"/>
  <c r="H9" i="5"/>
  <c r="G2" i="5"/>
  <c r="G3" i="5"/>
  <c r="G4" i="5"/>
  <c r="G5" i="5"/>
  <c r="G6" i="5"/>
  <c r="G7" i="5"/>
  <c r="G8" i="5"/>
  <c r="G9" i="5"/>
  <c r="F2" i="5"/>
  <c r="F3" i="5"/>
  <c r="F4" i="5"/>
  <c r="F5" i="5"/>
  <c r="F6" i="5"/>
  <c r="F7" i="5"/>
  <c r="F8" i="5"/>
  <c r="F9" i="5"/>
  <c r="E2" i="5"/>
  <c r="E3" i="5"/>
  <c r="E4" i="5"/>
  <c r="E5" i="5"/>
  <c r="E6" i="5"/>
  <c r="E7" i="5"/>
  <c r="E8" i="5"/>
  <c r="E9" i="5"/>
  <c r="D2" i="5"/>
  <c r="D3" i="5"/>
  <c r="D4" i="5"/>
  <c r="D5" i="5"/>
  <c r="D6" i="5"/>
  <c r="D7" i="5"/>
  <c r="D8" i="5"/>
  <c r="D9" i="5"/>
  <c r="J3" i="6"/>
  <c r="I12" i="4"/>
  <c r="I13" i="4"/>
  <c r="I14" i="4"/>
  <c r="I15" i="4"/>
  <c r="I16" i="4"/>
  <c r="I17" i="4"/>
  <c r="I18" i="4"/>
  <c r="I19" i="4"/>
  <c r="H12" i="4"/>
  <c r="H13" i="4"/>
  <c r="H14" i="4"/>
  <c r="H15" i="4"/>
  <c r="H16" i="4"/>
  <c r="H17" i="4"/>
  <c r="H18" i="4"/>
  <c r="H19" i="4"/>
  <c r="G12" i="4"/>
  <c r="G13" i="4"/>
  <c r="G14" i="4"/>
  <c r="G15" i="4"/>
  <c r="G16" i="4"/>
  <c r="G17" i="4"/>
  <c r="G18" i="4"/>
  <c r="G19" i="4"/>
  <c r="F12" i="4"/>
  <c r="F13" i="4"/>
  <c r="F14" i="4"/>
  <c r="F15" i="4"/>
  <c r="F16" i="4"/>
  <c r="F17" i="4"/>
  <c r="F18" i="4"/>
  <c r="F19" i="4"/>
  <c r="E12" i="4"/>
  <c r="E13" i="4"/>
  <c r="E14" i="4"/>
  <c r="E15" i="4"/>
  <c r="E16" i="4"/>
  <c r="E17" i="4"/>
  <c r="E18" i="4"/>
  <c r="E19" i="4"/>
  <c r="D12" i="4"/>
  <c r="D13" i="4"/>
  <c r="D14" i="4"/>
  <c r="D15" i="4"/>
  <c r="D16" i="4"/>
  <c r="D17" i="4"/>
  <c r="D18" i="4"/>
  <c r="D19" i="4"/>
  <c r="O2" i="4"/>
  <c r="O3" i="4"/>
  <c r="O4" i="4"/>
  <c r="O5" i="4"/>
  <c r="O6" i="4"/>
  <c r="O7" i="4"/>
  <c r="O8" i="4"/>
  <c r="O9" i="4"/>
  <c r="N2" i="4"/>
  <c r="N3" i="4"/>
  <c r="N4" i="4"/>
  <c r="N5" i="4"/>
  <c r="N6" i="4"/>
  <c r="N7" i="4"/>
  <c r="N8" i="4"/>
  <c r="N9" i="4"/>
  <c r="M2" i="4"/>
  <c r="M3" i="4"/>
  <c r="M4" i="4"/>
  <c r="M5" i="4"/>
  <c r="M6" i="4"/>
  <c r="M7" i="4"/>
  <c r="M8" i="4"/>
  <c r="M9" i="4"/>
  <c r="L2" i="4"/>
  <c r="L3" i="4"/>
  <c r="L4" i="4"/>
  <c r="L5" i="4"/>
  <c r="L6" i="4"/>
  <c r="L7" i="4"/>
  <c r="L8" i="4"/>
  <c r="L9" i="4"/>
  <c r="K2" i="4"/>
  <c r="K3" i="4"/>
  <c r="K4" i="4"/>
  <c r="K5" i="4"/>
  <c r="K6" i="4"/>
  <c r="K7" i="4"/>
  <c r="K8" i="4"/>
  <c r="K9" i="4"/>
  <c r="J2" i="4"/>
  <c r="J3" i="4"/>
  <c r="J4" i="4"/>
  <c r="J5" i="4"/>
  <c r="J6" i="4"/>
  <c r="J7" i="4"/>
  <c r="J8" i="4"/>
  <c r="J9" i="4"/>
  <c r="I2" i="4"/>
  <c r="I3" i="4"/>
  <c r="I4" i="4"/>
  <c r="I5" i="4"/>
  <c r="I6" i="4"/>
  <c r="I7" i="4"/>
  <c r="I8" i="4"/>
  <c r="I9" i="4"/>
  <c r="H2" i="4"/>
  <c r="H3" i="4"/>
  <c r="H4" i="4"/>
  <c r="H5" i="4"/>
  <c r="H6" i="4"/>
  <c r="H7" i="4"/>
  <c r="H8" i="4"/>
  <c r="H9" i="4"/>
  <c r="G2" i="4"/>
  <c r="G3" i="4"/>
  <c r="G4" i="4"/>
  <c r="G5" i="4"/>
  <c r="G6" i="4"/>
  <c r="G7" i="4"/>
  <c r="G8" i="4"/>
  <c r="G9" i="4"/>
  <c r="F2" i="4"/>
  <c r="F3" i="4"/>
  <c r="F4" i="4"/>
  <c r="F5" i="4"/>
  <c r="F6" i="4"/>
  <c r="F7" i="4"/>
  <c r="F8" i="4"/>
  <c r="F9" i="4"/>
  <c r="E2" i="4"/>
  <c r="E3" i="4"/>
  <c r="E4" i="4"/>
  <c r="E5" i="4"/>
  <c r="E6" i="4"/>
  <c r="E7" i="4"/>
  <c r="E8" i="4"/>
  <c r="E9" i="4"/>
  <c r="D2" i="4"/>
  <c r="D3" i="4"/>
  <c r="D4" i="4"/>
  <c r="D5" i="4"/>
  <c r="D6" i="4"/>
  <c r="D7" i="4"/>
  <c r="D8" i="4"/>
  <c r="D9" i="4"/>
  <c r="O12" i="3"/>
  <c r="O13" i="3"/>
  <c r="O14" i="3"/>
  <c r="O15" i="3"/>
  <c r="O16" i="3"/>
  <c r="O17" i="3"/>
  <c r="O18" i="3"/>
  <c r="O19" i="3"/>
  <c r="N12" i="3"/>
  <c r="N13" i="3"/>
  <c r="N14" i="3"/>
  <c r="N15" i="3"/>
  <c r="N16" i="3"/>
  <c r="N17" i="3"/>
  <c r="N18" i="3"/>
  <c r="N19" i="3"/>
  <c r="M12" i="3"/>
  <c r="M13" i="3"/>
  <c r="M14" i="3"/>
  <c r="M15" i="3"/>
  <c r="M16" i="3"/>
  <c r="M17" i="3"/>
  <c r="M18" i="3"/>
  <c r="M19" i="3"/>
  <c r="L12" i="3"/>
  <c r="L13" i="3"/>
  <c r="L14" i="3"/>
  <c r="L15" i="3"/>
  <c r="L16" i="3"/>
  <c r="L17" i="3"/>
  <c r="L18" i="3"/>
  <c r="L19" i="3"/>
  <c r="K12" i="3"/>
  <c r="K13" i="3"/>
  <c r="K14" i="3"/>
  <c r="K15" i="3"/>
  <c r="K16" i="3"/>
  <c r="K17" i="3"/>
  <c r="K18" i="3"/>
  <c r="K19" i="3"/>
  <c r="J12" i="3"/>
  <c r="J13" i="3"/>
  <c r="J14" i="3"/>
  <c r="J15" i="3"/>
  <c r="J16" i="3"/>
  <c r="J17" i="3"/>
  <c r="J18" i="3"/>
  <c r="J19" i="3"/>
  <c r="I12" i="3"/>
  <c r="I13" i="3"/>
  <c r="I14" i="3"/>
  <c r="I15" i="3"/>
  <c r="I16" i="3"/>
  <c r="I17" i="3"/>
  <c r="I18" i="3"/>
  <c r="I19" i="3"/>
  <c r="H12" i="3"/>
  <c r="H13" i="3"/>
  <c r="H14" i="3"/>
  <c r="H15" i="3"/>
  <c r="H16" i="3"/>
  <c r="H17" i="3"/>
  <c r="H18" i="3"/>
  <c r="H19" i="3"/>
  <c r="G12" i="3"/>
  <c r="G13" i="3"/>
  <c r="G14" i="3"/>
  <c r="G15" i="3"/>
  <c r="G16" i="3"/>
  <c r="G17" i="3"/>
  <c r="G18" i="3"/>
  <c r="G19" i="3"/>
  <c r="F12" i="3"/>
  <c r="F13" i="3"/>
  <c r="F14" i="3"/>
  <c r="F15" i="3"/>
  <c r="F16" i="3"/>
  <c r="F17" i="3"/>
  <c r="F18" i="3"/>
  <c r="F19" i="3"/>
  <c r="E12" i="3"/>
  <c r="E13" i="3"/>
  <c r="E14" i="3"/>
  <c r="E15" i="3"/>
  <c r="E16" i="3"/>
  <c r="E17" i="3"/>
  <c r="E18" i="3"/>
  <c r="E19" i="3"/>
  <c r="D12" i="3"/>
  <c r="D13" i="3"/>
  <c r="D14" i="3"/>
  <c r="D15" i="3"/>
  <c r="D16" i="3"/>
  <c r="D17" i="3"/>
  <c r="D18" i="3"/>
  <c r="D19" i="3"/>
  <c r="O2" i="3"/>
  <c r="O3" i="3"/>
  <c r="O4" i="3"/>
  <c r="O5" i="3"/>
  <c r="O6" i="3"/>
  <c r="O7" i="3"/>
  <c r="O8" i="3"/>
  <c r="O9" i="3"/>
  <c r="N2" i="3"/>
  <c r="N3" i="3"/>
  <c r="N4" i="3"/>
  <c r="N5" i="3"/>
  <c r="N6" i="3"/>
  <c r="N7" i="3"/>
  <c r="N8" i="3"/>
  <c r="N9" i="3"/>
  <c r="M2" i="3"/>
  <c r="M3" i="3"/>
  <c r="M4" i="3"/>
  <c r="M5" i="3"/>
  <c r="M6" i="3"/>
  <c r="M7" i="3"/>
  <c r="M8" i="3"/>
  <c r="M9" i="3"/>
  <c r="L2" i="3"/>
  <c r="L3" i="3"/>
  <c r="L4" i="3"/>
  <c r="L5" i="3"/>
  <c r="L6" i="3"/>
  <c r="L7" i="3"/>
  <c r="L8" i="3"/>
  <c r="L9" i="3"/>
  <c r="K2" i="3"/>
  <c r="K3" i="3"/>
  <c r="K4" i="3"/>
  <c r="K5" i="3"/>
  <c r="K6" i="3"/>
  <c r="K7" i="3"/>
  <c r="K8" i="3"/>
  <c r="K9" i="3"/>
  <c r="J2" i="3"/>
  <c r="J3" i="3"/>
  <c r="J4" i="3"/>
  <c r="J5" i="3"/>
  <c r="J6" i="3"/>
  <c r="J7" i="3"/>
  <c r="J8" i="3"/>
  <c r="J9" i="3"/>
  <c r="I2" i="3"/>
  <c r="I3" i="3"/>
  <c r="I4" i="3"/>
  <c r="I5" i="3"/>
  <c r="I6" i="3"/>
  <c r="I7" i="3"/>
  <c r="I8" i="3"/>
  <c r="I9" i="3"/>
  <c r="H2" i="3"/>
  <c r="H3" i="3"/>
  <c r="H4" i="3"/>
  <c r="H5" i="3"/>
  <c r="H6" i="3"/>
  <c r="H7" i="3"/>
  <c r="H8" i="3"/>
  <c r="H9" i="3"/>
  <c r="G2" i="3"/>
  <c r="G3" i="3"/>
  <c r="G4" i="3"/>
  <c r="G5" i="3"/>
  <c r="G6" i="3"/>
  <c r="G7" i="3"/>
  <c r="G8" i="3"/>
  <c r="G9" i="3"/>
  <c r="F2" i="3"/>
  <c r="F3" i="3"/>
  <c r="F4" i="3"/>
  <c r="F5" i="3"/>
  <c r="F6" i="3"/>
  <c r="F7" i="3"/>
  <c r="F8" i="3"/>
  <c r="F9" i="3"/>
  <c r="E2" i="3"/>
  <c r="E3" i="3"/>
  <c r="E4" i="3"/>
  <c r="E5" i="3"/>
  <c r="E6" i="3"/>
  <c r="E7" i="3"/>
  <c r="E8" i="3"/>
  <c r="E9" i="3"/>
  <c r="D2" i="3"/>
  <c r="D3" i="3"/>
  <c r="D4" i="3"/>
  <c r="D5" i="3"/>
  <c r="D6" i="3"/>
  <c r="D7" i="3"/>
  <c r="D8" i="3"/>
  <c r="D9" i="3"/>
  <c r="M4" i="6"/>
  <c r="L4" i="6"/>
  <c r="K4" i="6"/>
  <c r="J4" i="6"/>
  <c r="I4" i="6"/>
  <c r="H4" i="6"/>
  <c r="G4" i="6"/>
  <c r="F4" i="6"/>
  <c r="E4" i="6"/>
  <c r="D4" i="6"/>
  <c r="C4" i="6"/>
  <c r="B4" i="6"/>
  <c r="S3" i="6"/>
  <c r="R3" i="6"/>
  <c r="Q3" i="6"/>
  <c r="P3" i="6"/>
  <c r="O3" i="6"/>
  <c r="N3" i="6"/>
  <c r="M3" i="6"/>
  <c r="L3" i="6"/>
  <c r="K3" i="6"/>
  <c r="I3" i="6"/>
  <c r="H3" i="6"/>
  <c r="G3" i="6"/>
  <c r="F3" i="6"/>
  <c r="E3" i="6"/>
  <c r="D3" i="6"/>
  <c r="C3" i="6"/>
  <c r="B3" i="6"/>
  <c r="Y2" i="6"/>
  <c r="X2" i="6"/>
  <c r="W2" i="6"/>
  <c r="V2" i="6"/>
  <c r="U2" i="6"/>
  <c r="T2" i="6"/>
  <c r="S2" i="6"/>
  <c r="R2" i="6"/>
  <c r="Q2" i="6"/>
  <c r="P2" i="6"/>
  <c r="O2" i="6"/>
  <c r="N2" i="6"/>
  <c r="M2" i="6"/>
  <c r="L2" i="6"/>
  <c r="K2" i="6"/>
  <c r="J2" i="6"/>
  <c r="I2" i="6"/>
  <c r="C2" i="6"/>
  <c r="D2" i="6"/>
  <c r="B2" i="6"/>
  <c r="E2" i="6"/>
  <c r="F2" i="6"/>
  <c r="H2" i="6"/>
  <c r="G2" i="6"/>
  <c r="J12" i="1"/>
  <c r="D8" i="7"/>
  <c r="C2" i="5"/>
  <c r="C12" i="4"/>
  <c r="C13" i="4"/>
  <c r="C14" i="4"/>
  <c r="C15" i="4"/>
  <c r="C16" i="4"/>
  <c r="C17" i="4"/>
  <c r="C18" i="4"/>
  <c r="C19" i="4"/>
  <c r="C12" i="3"/>
  <c r="C13" i="3"/>
  <c r="C14" i="3"/>
  <c r="C15" i="3"/>
  <c r="C16" i="3"/>
  <c r="C17" i="3"/>
  <c r="C18" i="3"/>
  <c r="C19" i="3"/>
  <c r="D10" i="1"/>
  <c r="E10" i="1"/>
  <c r="F10" i="1"/>
  <c r="G10" i="1"/>
  <c r="H10" i="1"/>
  <c r="I10" i="1"/>
  <c r="J10" i="1"/>
  <c r="D11" i="1"/>
  <c r="E11" i="1"/>
  <c r="F11" i="1"/>
  <c r="G11" i="1"/>
  <c r="H11" i="1"/>
  <c r="I11" i="1"/>
  <c r="J11" i="1"/>
  <c r="D12" i="1"/>
  <c r="E12" i="1"/>
  <c r="F12" i="1"/>
  <c r="G12" i="1"/>
  <c r="H12" i="1"/>
  <c r="I12" i="1"/>
  <c r="C11" i="1"/>
  <c r="C12" i="1"/>
  <c r="C10" i="1"/>
  <c r="B7" i="6" s="1" a="1"/>
  <c r="C2" i="3"/>
  <c r="C3" i="3"/>
  <c r="C4" i="3"/>
  <c r="C5" i="3"/>
  <c r="C6" i="3"/>
  <c r="C7" i="3"/>
  <c r="C8" i="3"/>
  <c r="C9" i="3"/>
  <c r="C2" i="4"/>
  <c r="C3" i="4"/>
  <c r="C4" i="4"/>
  <c r="C5" i="4"/>
  <c r="C6" i="4"/>
  <c r="C7" i="4"/>
  <c r="C8" i="4"/>
  <c r="C9" i="4"/>
  <c r="C3" i="5"/>
  <c r="C4" i="5"/>
  <c r="C5" i="5"/>
  <c r="C6" i="5"/>
  <c r="C7" i="5"/>
  <c r="C8" i="5"/>
  <c r="C9" i="5"/>
  <c r="B7" i="6" l="1"/>
  <c r="D6" i="7" s="1"/>
  <c r="D7" i="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<sst xmlns="http://schemas.openxmlformats.org/spreadsheetml/2006/main" count="176" uniqueCount="68">
  <si>
    <t>Acutely Low Income
(Maximum 15% AMI)</t>
  </si>
  <si>
    <t>Extremely Low Income
(Maximum 30% AMI)</t>
  </si>
  <si>
    <t>Very Low Income
(Maximum 50% AMI)</t>
  </si>
  <si>
    <t>1 Person</t>
  </si>
  <si>
    <t>2 Persons</t>
  </si>
  <si>
    <t>4 Persons</t>
  </si>
  <si>
    <t>3 Persons</t>
  </si>
  <si>
    <t>5 Persons</t>
  </si>
  <si>
    <t>6 Persons</t>
  </si>
  <si>
    <t>7 Persons</t>
  </si>
  <si>
    <t>8 Persons</t>
  </si>
  <si>
    <t>Month 1</t>
  </si>
  <si>
    <t>Month 2</t>
  </si>
  <si>
    <t>Month 3</t>
  </si>
  <si>
    <t xml:space="preserve">Month 4 </t>
  </si>
  <si>
    <t>Month 5</t>
  </si>
  <si>
    <t>Month 6</t>
  </si>
  <si>
    <t>Month 7</t>
  </si>
  <si>
    <t xml:space="preserve">Month 8 </t>
  </si>
  <si>
    <t>Month 9</t>
  </si>
  <si>
    <t>Month 10</t>
  </si>
  <si>
    <t>Month 11</t>
  </si>
  <si>
    <t>Month 12</t>
  </si>
  <si>
    <t>Month 24</t>
  </si>
  <si>
    <t>Month 13</t>
  </si>
  <si>
    <t>Month 14</t>
  </si>
  <si>
    <t>Month 15</t>
  </si>
  <si>
    <t>Month 16</t>
  </si>
  <si>
    <t>Month 17</t>
  </si>
  <si>
    <t>Month 18</t>
  </si>
  <si>
    <t>Month 19</t>
  </si>
  <si>
    <t>Month 20</t>
  </si>
  <si>
    <t>Month 21</t>
  </si>
  <si>
    <t>Month 22</t>
  </si>
  <si>
    <t>Month 23</t>
  </si>
  <si>
    <t>Month</t>
  </si>
  <si>
    <t>Rent/Income Ratio</t>
  </si>
  <si>
    <t>higher track to lower track, use new track</t>
  </si>
  <si>
    <t>lower track to higher track, use % of lower track in newer higher track and pick up on it.</t>
  </si>
  <si>
    <t>Notify teams when affordability, is over 40%. (rent/income ratio)</t>
  </si>
  <si>
    <t xml:space="preserve">Schedule is based on s-curve, smaller changes  at the edges and higher changes in the middle. </t>
  </si>
  <si>
    <t>Track</t>
  </si>
  <si>
    <t>Household  Size</t>
  </si>
  <si>
    <t>time limited to 24 months, even with track movement.</t>
  </si>
  <si>
    <t>TLS Month</t>
  </si>
  <si>
    <t>TLS Rental Assistance Amount</t>
  </si>
  <si>
    <t>Participant Rental Portion</t>
  </si>
  <si>
    <t>Calculated Track</t>
  </si>
  <si>
    <t>Tracks</t>
  </si>
  <si>
    <t>Enter current assistance month information here</t>
  </si>
  <si>
    <t>These values populate based on information entered above</t>
  </si>
  <si>
    <t>1 Persons</t>
  </si>
  <si>
    <t>Income Limits -
Household Size</t>
  </si>
  <si>
    <t>Income Limits -
Household Size (Cont.)</t>
  </si>
  <si>
    <t>Income Limits -
Household Size (cont.)</t>
  </si>
  <si>
    <t>Acutely Low Income
(Maximum 15% AMI) - Annual Total</t>
  </si>
  <si>
    <t>Acutely Low Income
(Maximum 15% AMI) - Monthly Total</t>
  </si>
  <si>
    <t>Extremely Low Income
(Maximum 30% AMI) - Annual Limit</t>
  </si>
  <si>
    <t>Extremely Low Income
(Maximum 30% AMI) - Monthly Limit</t>
  </si>
  <si>
    <t>Very Low Income
(Maximum 50% AMI) - Annual Limit</t>
  </si>
  <si>
    <t>Very Low Income
(Maximum 50% AMI) - Monthly Limit</t>
  </si>
  <si>
    <t>Total Monthly Household Income</t>
  </si>
  <si>
    <t>Total Monthly Rent</t>
  </si>
  <si>
    <t>* Values are calculated based on household size, household income, Area Median Income (AMI), and established HSH TLS assistance tracks.</t>
  </si>
  <si>
    <t>** A Rent to Income Ratio above 50% will highlight in salmon and should guide participant discussion about increasing income.</t>
  </si>
  <si>
    <t>2025 Income Limits (Annual Limit View)</t>
  </si>
  <si>
    <t>2025 Income Limits (Monthly Limit View)</t>
  </si>
  <si>
    <t>*** If the TLS Rental Assistance Amount calculates as $0, it indicates that the participant exceeds TLS rental assistance eligibility limits for the current month.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</si>
</sst>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_([$$-409]* #,##0.00_);_([$$-409]* \(#,##0.00\);_([$$-409]* &quot;-&quot;??_);_(@_)"/>
  </numFmts>
  <fonts count="13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4" tint="-0.249977111117893"/>
      <name val="Aptos Narrow"/>
      <family val="2"/>
      <scheme val="minor"/>
    </font>
    <font>
      <sz val="12"/>
      <color theme="4" tint="-0.249977111117893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8"/>
      <name val="Aptos Narrow"/>
      <family val="2"/>
      <scheme val="minor"/>
    </font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24"/>
      <color theme="1"/>
      <name val="Aptos Narrow"/>
      <family val="2"/>
    </font>
    <font>
      <b/>
      <sz val="16"/>
      <color theme="1"/>
      <name val="Aptos Narrow"/>
      <family val="2"/>
    </font>
    <font>
      <b/>
      <sz val="12"/>
      <color theme="1"/>
      <name val="Aptos Narrow"/>
      <family val="2"/>
      <scheme val="minor"/>
    </font>
    <font>
      <b/>
      <sz val="20"/>
      <color theme="1"/>
      <name val="Aptos Narrow"/>
      <family val="2"/>
    </font>
  </fonts>
  <fills count="8">
    <fill>
      <patternFill patternType="none"/>
    </fill>
    <fill>
      <patternFill patternType="gray125"/>
    </fill>
    <fill>
      <patternFill patternType="solid">
        <fgColor rgb="FFE6E186"/>
        <bgColor indexed="64"/>
      </patternFill>
    </fill>
    <fill>
      <patternFill patternType="solid">
        <fgColor rgb="FFE6E186"/>
        <bgColor rgb="FFEFF7FF"/>
      </patternFill>
    </fill>
    <fill>
      <patternFill patternType="solid">
        <fgColor rgb="FFE6E186"/>
        <bgColor rgb="FFFFFF9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EFF7FF"/>
      </patternFill>
    </fill>
    <fill>
      <patternFill patternType="solid">
        <fgColor theme="0" tint="-4.9989318521683403E-2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7">
    <xf numFmtId="0" fontId="0" fillId="0" borderId="0" xfId="0"/>
    <xf numFmtId="0" fontId="0" fillId="0" borderId="0" xfId="0" applyAlignment="1">
      <alignment wrapText="1"/>
    </xf>
    <xf numFmtId="44" fontId="0" fillId="0" borderId="0" xfId="0" applyNumberFormat="1"/>
    <xf numFmtId="0" fontId="7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wrapText="1"/>
    </xf>
    <xf numFmtId="0" fontId="8" fillId="0" borderId="0" xfId="0" applyFont="1"/>
    <xf numFmtId="164" fontId="8" fillId="0" borderId="0" xfId="0" applyNumberFormat="1" applyFont="1"/>
    <xf numFmtId="164" fontId="7" fillId="0" borderId="0" xfId="0" applyNumberFormat="1" applyFont="1"/>
    <xf numFmtId="0" fontId="11" fillId="5" borderId="4" xfId="0" applyFont="1" applyFill="1" applyBorder="1"/>
    <xf numFmtId="44" fontId="0" fillId="0" borderId="4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44" fontId="0" fillId="0" borderId="4" xfId="1" applyFont="1" applyBorder="1" applyAlignment="1">
      <alignment horizontal="center" vertical="center" shrinkToFit="1"/>
    </xf>
    <xf numFmtId="44" fontId="0" fillId="0" borderId="4" xfId="0" applyNumberFormat="1" applyBorder="1" applyAlignment="1">
      <alignment horizontal="center" vertical="center" shrinkToFit="1"/>
    </xf>
    <xf numFmtId="165" fontId="0" fillId="0" borderId="4" xfId="0" applyNumberFormat="1" applyBorder="1" applyAlignment="1">
      <alignment horizontal="center" vertical="center" shrinkToFit="1"/>
    </xf>
    <xf numFmtId="44" fontId="3" fillId="0" borderId="4" xfId="1" applyFont="1" applyBorder="1" applyAlignment="1">
      <alignment horizontal="center" vertical="center" shrinkToFit="1"/>
    </xf>
    <xf numFmtId="44" fontId="0" fillId="0" borderId="23" xfId="0" applyNumberFormat="1" applyBorder="1" applyAlignment="1">
      <alignment horizontal="center" vertical="center" shrinkToFit="1"/>
    </xf>
    <xf numFmtId="44" fontId="0" fillId="0" borderId="9" xfId="0" applyNumberFormat="1" applyBorder="1" applyAlignment="1">
      <alignment horizontal="center" vertical="center" shrinkToFit="1"/>
    </xf>
    <xf numFmtId="44" fontId="0" fillId="0" borderId="5" xfId="0" applyNumberFormat="1" applyBorder="1" applyAlignment="1">
      <alignment horizontal="center" vertical="center" shrinkToFit="1"/>
    </xf>
    <xf numFmtId="44" fontId="0" fillId="0" borderId="7" xfId="0" applyNumberFormat="1" applyBorder="1" applyAlignment="1">
      <alignment horizontal="center" vertical="center" shrinkToFit="1"/>
    </xf>
    <xf numFmtId="44" fontId="0" fillId="0" borderId="8" xfId="0" applyNumberFormat="1" applyBorder="1" applyAlignment="1">
      <alignment horizontal="center" vertical="center" shrinkToFit="1"/>
    </xf>
    <xf numFmtId="44" fontId="0" fillId="0" borderId="6" xfId="0" applyNumberFormat="1" applyBorder="1" applyAlignment="1">
      <alignment horizontal="center" vertical="center" shrinkToFit="1"/>
    </xf>
    <xf numFmtId="0" fontId="11" fillId="7" borderId="23" xfId="0" applyFont="1" applyFill="1" applyBorder="1" applyAlignment="1">
      <alignment horizontal="center" vertical="center" wrapText="1"/>
    </xf>
    <xf numFmtId="44" fontId="0" fillId="0" borderId="9" xfId="0" applyNumberFormat="1" applyBorder="1" applyAlignment="1">
      <alignment horizontal="center" vertical="center"/>
    </xf>
    <xf numFmtId="0" fontId="0" fillId="7" borderId="27" xfId="0" applyFill="1" applyBorder="1" applyAlignment="1">
      <alignment horizontal="center" wrapText="1"/>
    </xf>
    <xf numFmtId="0" fontId="0" fillId="7" borderId="28" xfId="0" applyFill="1" applyBorder="1" applyAlignment="1">
      <alignment horizontal="center" wrapText="1"/>
    </xf>
    <xf numFmtId="0" fontId="11" fillId="7" borderId="29" xfId="0" applyFont="1" applyFill="1" applyBorder="1" applyAlignment="1">
      <alignment horizontal="center" vertical="center" wrapText="1"/>
    </xf>
    <xf numFmtId="44" fontId="0" fillId="0" borderId="23" xfId="0" applyNumberFormat="1" applyBorder="1" applyAlignment="1">
      <alignment horizontal="center" vertical="center"/>
    </xf>
    <xf numFmtId="0" fontId="11" fillId="7" borderId="30" xfId="0" applyFont="1" applyFill="1" applyBorder="1" applyAlignment="1">
      <alignment horizontal="center" vertical="center" wrapText="1"/>
    </xf>
    <xf numFmtId="0" fontId="11" fillId="7" borderId="31" xfId="0" applyFont="1" applyFill="1" applyBorder="1" applyAlignment="1">
      <alignment horizontal="center" vertical="center" wrapText="1"/>
    </xf>
    <xf numFmtId="44" fontId="0" fillId="0" borderId="32" xfId="0" applyNumberFormat="1" applyBorder="1" applyAlignment="1">
      <alignment horizontal="center" vertical="center"/>
    </xf>
    <xf numFmtId="44" fontId="0" fillId="0" borderId="33" xfId="0" applyNumberFormat="1" applyBorder="1" applyAlignment="1">
      <alignment horizontal="center" vertical="center"/>
    </xf>
    <xf numFmtId="44" fontId="0" fillId="0" borderId="31" xfId="0" applyNumberFormat="1" applyBorder="1" applyAlignment="1">
      <alignment horizontal="center" vertical="center"/>
    </xf>
    <xf numFmtId="44" fontId="0" fillId="0" borderId="24" xfId="0" applyNumberFormat="1" applyBorder="1" applyAlignment="1">
      <alignment horizontal="center" vertical="center" shrinkToFit="1"/>
    </xf>
    <xf numFmtId="44" fontId="0" fillId="0" borderId="25" xfId="0" applyNumberFormat="1" applyBorder="1" applyAlignment="1">
      <alignment horizontal="center" vertical="center" shrinkToFit="1"/>
    </xf>
    <xf numFmtId="44" fontId="0" fillId="0" borderId="26" xfId="0" applyNumberFormat="1" applyBorder="1" applyAlignment="1">
      <alignment horizontal="center" vertical="center" shrinkToFit="1"/>
    </xf>
    <xf numFmtId="0" fontId="2" fillId="0" borderId="24" xfId="0" applyFont="1" applyBorder="1" applyAlignment="1">
      <alignment horizontal="center" vertical="center"/>
    </xf>
    <xf numFmtId="44" fontId="0" fillId="0" borderId="25" xfId="1" applyFont="1" applyBorder="1" applyAlignment="1">
      <alignment horizontal="center" vertical="center" shrinkToFit="1"/>
    </xf>
    <xf numFmtId="44" fontId="0" fillId="0" borderId="26" xfId="1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/>
    </xf>
    <xf numFmtId="44" fontId="0" fillId="0" borderId="5" xfId="1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/>
    </xf>
    <xf numFmtId="44" fontId="0" fillId="0" borderId="8" xfId="1" applyFont="1" applyBorder="1" applyAlignment="1">
      <alignment horizontal="center" vertical="center" shrinkToFit="1"/>
    </xf>
    <xf numFmtId="44" fontId="0" fillId="0" borderId="6" xfId="1" applyFont="1" applyBorder="1" applyAlignment="1">
      <alignment horizontal="center" vertical="center" shrinkToFit="1"/>
    </xf>
    <xf numFmtId="165" fontId="0" fillId="0" borderId="25" xfId="0" applyNumberFormat="1" applyBorder="1" applyAlignment="1">
      <alignment horizontal="center" vertical="center" shrinkToFit="1"/>
    </xf>
    <xf numFmtId="165" fontId="0" fillId="0" borderId="8" xfId="0" applyNumberFormat="1" applyBorder="1" applyAlignment="1">
      <alignment horizontal="center" vertical="center" shrinkToFit="1"/>
    </xf>
    <xf numFmtId="44" fontId="3" fillId="0" borderId="25" xfId="1" applyFont="1" applyBorder="1" applyAlignment="1">
      <alignment horizontal="center" vertical="center" shrinkToFit="1"/>
    </xf>
    <xf numFmtId="44" fontId="3" fillId="0" borderId="8" xfId="1" applyFont="1" applyBorder="1" applyAlignment="1">
      <alignment horizontal="center" vertical="center" shrinkToFit="1"/>
    </xf>
    <xf numFmtId="0" fontId="2" fillId="0" borderId="35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44" fontId="3" fillId="0" borderId="33" xfId="1" applyFont="1" applyBorder="1" applyAlignment="1">
      <alignment horizontal="center" vertical="center" shrinkToFit="1"/>
    </xf>
    <xf numFmtId="44" fontId="0" fillId="0" borderId="36" xfId="0" applyNumberFormat="1" applyBorder="1" applyAlignment="1">
      <alignment horizontal="center" vertical="center" shrinkToFit="1"/>
    </xf>
    <xf numFmtId="44" fontId="0" fillId="0" borderId="32" xfId="0" applyNumberFormat="1" applyBorder="1" applyAlignment="1">
      <alignment horizontal="center" vertical="center" shrinkToFit="1"/>
    </xf>
    <xf numFmtId="44" fontId="0" fillId="0" borderId="33" xfId="0" applyNumberFormat="1" applyBorder="1" applyAlignment="1">
      <alignment horizontal="center" vertical="center" shrinkToFit="1"/>
    </xf>
    <xf numFmtId="44" fontId="0" fillId="0" borderId="31" xfId="0" applyNumberFormat="1" applyBorder="1" applyAlignment="1">
      <alignment horizontal="center" vertical="center" shrinkToFit="1"/>
    </xf>
    <xf numFmtId="44" fontId="0" fillId="0" borderId="34" xfId="0" applyNumberFormat="1" applyBorder="1" applyAlignment="1">
      <alignment horizontal="center" vertical="center" shrinkToFit="1"/>
    </xf>
    <xf numFmtId="44" fontId="0" fillId="0" borderId="33" xfId="1" applyFont="1" applyBorder="1" applyAlignment="1">
      <alignment horizontal="center" vertical="center" shrinkToFit="1"/>
    </xf>
    <xf numFmtId="44" fontId="0" fillId="0" borderId="36" xfId="1" applyFont="1" applyBorder="1" applyAlignment="1">
      <alignment horizontal="center" vertical="center" shrinkToFit="1"/>
    </xf>
    <xf numFmtId="0" fontId="0" fillId="7" borderId="27" xfId="0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wrapText="1"/>
    </xf>
    <xf numFmtId="0" fontId="0" fillId="7" borderId="12" xfId="0" applyFill="1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7" borderId="28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0" fontId="0" fillId="7" borderId="28" xfId="0" applyFill="1" applyBorder="1" applyAlignment="1">
      <alignment horizontal="center"/>
    </xf>
    <xf numFmtId="0" fontId="0" fillId="0" borderId="37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12" fillId="3" borderId="11" xfId="0" applyFont="1" applyFill="1" applyBorder="1" applyAlignment="1">
      <alignment horizontal="left"/>
    </xf>
    <xf numFmtId="1" fontId="12" fillId="4" borderId="13" xfId="0" applyNumberFormat="1" applyFont="1" applyFill="1" applyBorder="1" applyAlignment="1" applyProtection="1">
      <alignment horizontal="center" vertical="center"/>
      <protection locked="0"/>
    </xf>
    <xf numFmtId="0" fontId="12" fillId="3" borderId="16" xfId="0" applyFont="1" applyFill="1" applyBorder="1" applyAlignment="1">
      <alignment horizontal="left"/>
    </xf>
    <xf numFmtId="1" fontId="12" fillId="4" borderId="14" xfId="0" applyNumberFormat="1" applyFont="1" applyFill="1" applyBorder="1" applyAlignment="1" applyProtection="1">
      <alignment horizontal="center" vertical="center"/>
      <protection locked="0"/>
    </xf>
    <xf numFmtId="164" fontId="12" fillId="4" borderId="14" xfId="0" applyNumberFormat="1" applyFont="1" applyFill="1" applyBorder="1" applyAlignment="1" applyProtection="1">
      <alignment horizontal="center" vertical="center"/>
      <protection locked="0"/>
    </xf>
    <xf numFmtId="0" fontId="12" fillId="3" borderId="17" xfId="0" applyFont="1" applyFill="1" applyBorder="1" applyAlignment="1">
      <alignment horizontal="left"/>
    </xf>
    <xf numFmtId="164" fontId="12" fillId="2" borderId="15" xfId="0" applyNumberFormat="1" applyFont="1" applyFill="1" applyBorder="1" applyAlignment="1" applyProtection="1">
      <alignment horizontal="center" vertical="center"/>
      <protection locked="0"/>
    </xf>
    <xf numFmtId="0" fontId="12" fillId="6" borderId="11" xfId="0" applyFont="1" applyFill="1" applyBorder="1" applyAlignment="1">
      <alignment horizontal="left"/>
    </xf>
    <xf numFmtId="0" fontId="12" fillId="6" borderId="16" xfId="0" applyFont="1" applyFill="1" applyBorder="1" applyAlignment="1">
      <alignment horizontal="left"/>
    </xf>
    <xf numFmtId="0" fontId="12" fillId="6" borderId="17" xfId="0" applyFont="1" applyFill="1" applyBorder="1" applyAlignment="1">
      <alignment horizontal="left"/>
    </xf>
    <xf numFmtId="164" fontId="12" fillId="5" borderId="13" xfId="0" applyNumberFormat="1" applyFont="1" applyFill="1" applyBorder="1" applyAlignment="1">
      <alignment horizontal="center" vertical="center"/>
    </xf>
    <xf numFmtId="164" fontId="12" fillId="5" borderId="14" xfId="0" applyNumberFormat="1" applyFont="1" applyFill="1" applyBorder="1" applyAlignment="1">
      <alignment horizontal="center" vertical="center"/>
    </xf>
    <xf numFmtId="10" fontId="12" fillId="5" borderId="15" xfId="2" applyNumberFormat="1" applyFont="1" applyFill="1" applyBorder="1" applyAlignment="1" applyProtection="1">
      <alignment horizontal="center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9" fillId="2" borderId="44" xfId="0" applyFont="1" applyFill="1" applyBorder="1" applyAlignment="1">
      <alignment horizontal="center" vertical="center" wrapText="1"/>
    </xf>
    <xf numFmtId="0" fontId="9" fillId="2" borderId="45" xfId="0" applyFont="1" applyFill="1" applyBorder="1" applyAlignment="1">
      <alignment horizontal="center" vertical="center" wrapText="1"/>
    </xf>
    <xf numFmtId="0" fontId="9" fillId="2" borderId="46" xfId="0" applyFont="1" applyFill="1" applyBorder="1" applyAlignment="1">
      <alignment horizontal="center" vertical="center" wrapText="1"/>
    </xf>
    <xf numFmtId="0" fontId="9" fillId="5" borderId="44" xfId="0" applyFont="1" applyFill="1" applyBorder="1" applyAlignment="1">
      <alignment horizontal="center" vertical="center" wrapText="1"/>
    </xf>
    <xf numFmtId="0" fontId="9" fillId="5" borderId="45" xfId="0" applyFont="1" applyFill="1" applyBorder="1" applyAlignment="1">
      <alignment horizontal="center" vertical="center" wrapText="1"/>
    </xf>
    <xf numFmtId="0" fontId="9" fillId="5" borderId="46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left"/>
    </xf>
    <xf numFmtId="0" fontId="10" fillId="7" borderId="2" xfId="0" applyFont="1" applyFill="1" applyBorder="1" applyAlignment="1">
      <alignment horizontal="left"/>
    </xf>
    <xf numFmtId="0" fontId="10" fillId="7" borderId="3" xfId="0" applyFont="1" applyFill="1" applyBorder="1" applyAlignment="1">
      <alignment horizontal="left"/>
    </xf>
    <xf numFmtId="0" fontId="10" fillId="7" borderId="18" xfId="0" applyFont="1" applyFill="1" applyBorder="1" applyAlignment="1">
      <alignment horizontal="left"/>
    </xf>
    <xf numFmtId="0" fontId="10" fillId="7" borderId="0" xfId="0" applyFont="1" applyFill="1" applyAlignment="1">
      <alignment horizontal="left"/>
    </xf>
    <xf numFmtId="0" fontId="10" fillId="7" borderId="19" xfId="0" applyFont="1" applyFill="1" applyBorder="1" applyAlignment="1">
      <alignment horizontal="left"/>
    </xf>
    <xf numFmtId="0" fontId="10" fillId="7" borderId="20" xfId="0" applyFont="1" applyFill="1" applyBorder="1" applyAlignment="1">
      <alignment horizontal="left"/>
    </xf>
    <xf numFmtId="0" fontId="10" fillId="7" borderId="21" xfId="0" applyFont="1" applyFill="1" applyBorder="1" applyAlignment="1">
      <alignment horizontal="left"/>
    </xf>
    <xf numFmtId="0" fontId="10" fillId="7" borderId="22" xfId="0" applyFont="1" applyFill="1" applyBorder="1" applyAlignment="1">
      <alignment horizontal="left"/>
    </xf>
  </cellXfs>
  <cellStyles count="3">
    <cellStyle name="Currency" xfId="1" builtinId="4"/>
    <cellStyle name="Normal" xfId="0" builtinId="0"/>
    <cellStyle name="Percent" xfId="2" builtinId="5"/>
  </cellStyles>
  <dxfs count="143">
    <dxf>
      <font>
        <color rgb="FF9C0006"/>
      </font>
      <fill>
        <patternFill>
          <bgColor rgb="FFFFC7CE"/>
        </patternFill>
      </fill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alignment horizontal="general" vertical="bottom" textRotation="0" wrapText="1" indent="0" justifyLastLine="0" shrinkToFit="0" readingOrder="0"/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Aptos Narrow"/>
        <family val="2"/>
        <scheme val="minor"/>
      </font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Aptos Narrow"/>
        <family val="2"/>
        <scheme val="minor"/>
      </font>
      <alignment horizontal="center" vertical="center" textRotation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0"/>
        <name val="Aptos Narrow"/>
        <family val="2"/>
        <scheme val="minor"/>
      </font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Aptos Narrow"/>
        <family val="2"/>
        <scheme val="minor"/>
      </font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Aptos Narrow"/>
        <family val="2"/>
        <scheme val="minor"/>
      </font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0"/>
        <name val="Aptos Narrow"/>
        <family val="2"/>
        <scheme val="minor"/>
      </font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5" formatCode="_([$$-409]* #,##0.00_);_([$$-409]* \(#,##0.00\);_([$$-409]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249977111117893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  <dxf>
      <numFmt numFmtId="34" formatCode="_(&quot;$&quot;* #,##0.00_);_(&quot;$&quot;* \(#,##0.00\);_(&quot;$&quot;* &quot;-&quot;??_);_(@_)"/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fill>
        <patternFill>
          <fgColor indexed="64"/>
          <bgColor theme="0" tint="-4.9989318521683403E-2"/>
        </patternFill>
      </fill>
      <alignment horizontal="center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(&quot;$&quot;* #,##0.00_);_(&quot;$&quot;* \(#,##0.00\);_(&quot;$&quot;* &quot;-&quot;??_);_(@_)"/>
      <alignment horizontal="center" vertical="center" textRotation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E6E1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B0FDED4-A0F0-6545-BF36-B58AC24EFBED}" name="Table1" displayName="Table1" ref="A3:J6" totalsRowShown="0" headerRowDxfId="142" dataDxfId="140" headerRowBorderDxfId="141" tableBorderDxfId="139" totalsRowBorderDxfId="138">
  <autoFilter ref="A3:J6" xr:uid="{BB0FDED4-A0F0-6545-BF36-B58AC24EFBED}"/>
  <tableColumns count="10">
    <tableColumn id="1" xr3:uid="{3B612AD4-609C-8B42-BA9A-E13792F2874C}" name="Income Limits -_x000a_Household Size" dataDxfId="137"/>
    <tableColumn id="10" xr3:uid="{41BF9BD4-CA56-9945-9AC9-3A4B2957B7A7}" name="Track" dataDxfId="136"/>
    <tableColumn id="2" xr3:uid="{0BC6D0C0-758F-294E-AB06-1A7C129608C5}" name="1 Persons" dataDxfId="135"/>
    <tableColumn id="3" xr3:uid="{A328558C-2250-FB46-BFE4-FCAD913E3BA9}" name="2 Persons" dataDxfId="134"/>
    <tableColumn id="4" xr3:uid="{13CD5B40-D194-3D44-AF4A-5691CCAB3330}" name="3 Persons" dataDxfId="133"/>
    <tableColumn id="5" xr3:uid="{F9694A5D-EAF4-1744-A29F-974DDE1BEAB0}" name="4 Persons" dataDxfId="132"/>
    <tableColumn id="6" xr3:uid="{B7D3E72F-FA27-5146-8FB1-31CF7ECD8389}" name="5 Persons" dataDxfId="131"/>
    <tableColumn id="7" xr3:uid="{AEDF6DBF-8C0C-8C47-A30F-6152138255FA}" name="6 Persons" dataDxfId="130"/>
    <tableColumn id="8" xr3:uid="{68E5C4EB-0035-2F43-9A99-217E9297ABB2}" name="7 Persons" dataDxfId="129"/>
    <tableColumn id="9" xr3:uid="{06DD221A-40ED-EF4A-A427-61AEA2137D53}" name="8 Persons" dataDxfId="128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1C7966D-298B-B242-A683-A62227926572}" name="Table15" displayName="Table15" ref="A9:J12" totalsRowShown="0" headerRowDxfId="127" dataDxfId="125" headerRowBorderDxfId="126" tableBorderDxfId="124" totalsRowBorderDxfId="123">
  <autoFilter ref="A9:J12" xr:uid="{71C7966D-298B-B242-A683-A62227926572}"/>
  <tableColumns count="10">
    <tableColumn id="1" xr3:uid="{A8B81B6E-CC88-0D4E-9B71-407FBE3C6758}" name="Income Limits -_x000a_Household Size" dataDxfId="122"/>
    <tableColumn id="10" xr3:uid="{D6A06998-BA31-C544-BACA-4A9F483AF18F}" name="Track" dataDxfId="121"/>
    <tableColumn id="2" xr3:uid="{879BCADF-7F30-A34B-8909-03131593267D}" name="1 Persons" dataDxfId="120">
      <calculatedColumnFormula>C4/12</calculatedColumnFormula>
    </tableColumn>
    <tableColumn id="3" xr3:uid="{C29F8DC0-7129-1B41-AE3B-34F49581D411}" name="2 Persons" dataDxfId="119">
      <calculatedColumnFormula>D4/12</calculatedColumnFormula>
    </tableColumn>
    <tableColumn id="4" xr3:uid="{34186180-1BFA-754B-B164-B6BFB8604AAF}" name="3 Persons" dataDxfId="118">
      <calculatedColumnFormula>E4/12</calculatedColumnFormula>
    </tableColumn>
    <tableColumn id="5" xr3:uid="{F172DB07-F53C-0D4F-AB2B-84E655C32848}" name="4 Persons" dataDxfId="117">
      <calculatedColumnFormula>F4/12</calculatedColumnFormula>
    </tableColumn>
    <tableColumn id="6" xr3:uid="{9E2E0B67-6116-1D41-827D-2E01802BB9A8}" name="5 Persons" dataDxfId="116">
      <calculatedColumnFormula>G4/12</calculatedColumnFormula>
    </tableColumn>
    <tableColumn id="7" xr3:uid="{9DA2C029-394D-E74D-8B88-18AAE658F274}" name="6 Persons" dataDxfId="115">
      <calculatedColumnFormula>H4/12</calculatedColumnFormula>
    </tableColumn>
    <tableColumn id="8" xr3:uid="{EE015611-C644-6D47-8175-4FD33C43BE18}" name="7 Persons" dataDxfId="114">
      <calculatedColumnFormula>I4/12</calculatedColumnFormula>
    </tableColumn>
    <tableColumn id="9" xr3:uid="{BC8B680A-FD62-8C4E-9919-728506CA092C}" name="8 Persons" dataDxfId="113">
      <calculatedColumnFormula>J4/12</calculatedColumnFormula>
    </tableColumn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D8D9AFC6-35BE-4261-B059-478DDBE216A3}" name="Table16" displayName="Table16" ref="A1:O9" totalsRowShown="0" headerRowDxfId="112" dataDxfId="111" tableBorderDxfId="110">
  <autoFilter ref="A1:O9" xr:uid="{D8D9AFC6-35BE-4261-B059-478DDBE216A3}"/>
  <tableColumns count="15">
    <tableColumn id="1" xr3:uid="{5AEB129D-8AE3-4EB4-94C6-43A97318FA63}" name="Income Limits -_x000a_Household Size" dataDxfId="109"/>
    <tableColumn id="2" xr3:uid="{6DED34BB-3DDC-4166-ADBB-9A9C03815DCA}" name="Acutely Low Income_x000a_(Maximum 15% AMI) - Annual Total" dataDxfId="108" dataCellStyle="Currency"/>
    <tableColumn id="15" xr3:uid="{90C85300-FD42-2C4E-BEEE-3FFF7DC2F59A}" name="Acutely Low Income_x000a_(Maximum 15% AMI) - Monthly Total" dataDxfId="107" dataCellStyle="Currency">
      <calculatedColumnFormula>Table16[[#This Row],[Acutely Low Income
(Maximum 15% AMI) - Annual Total]]/12</calculatedColumnFormula>
    </tableColumn>
    <tableColumn id="3" xr3:uid="{E13F7BEF-D844-46C0-B3B3-6B769CEC06DA}" name="Month 1" dataDxfId="106">
      <calculatedColumnFormula>'TLS RA Calculator'!$D$4*1</calculatedColumnFormula>
    </tableColumn>
    <tableColumn id="4" xr3:uid="{94C1C7D8-68EC-4984-A23E-E9AB039A13A8}" name="Month 2" dataDxfId="105">
      <calculatedColumnFormula>'TLS RA Calculator'!$D$4*1</calculatedColumnFormula>
    </tableColumn>
    <tableColumn id="5" xr3:uid="{C0A70EC2-D88A-41A9-9CEE-3A3E46E5ED51}" name="Month 3" dataDxfId="104">
      <calculatedColumnFormula>'TLS RA Calculator'!$D$4*0.85</calculatedColumnFormula>
    </tableColumn>
    <tableColumn id="6" xr3:uid="{4B3BB279-21B0-4DF7-A8F7-7E01A17D0BF0}" name="Month 4 " dataDxfId="103">
      <calculatedColumnFormula>'TLS RA Calculator'!$D$4*0.7</calculatedColumnFormula>
    </tableColumn>
    <tableColumn id="7" xr3:uid="{0B6F6DDC-70BE-4E18-8383-2D2782B87FAE}" name="Month 5" dataDxfId="102">
      <calculatedColumnFormula>'TLS RA Calculator'!$D$4*0.65</calculatedColumnFormula>
    </tableColumn>
    <tableColumn id="8" xr3:uid="{6B7CE30D-E351-412C-BC27-3216195863AB}" name="Month 6" dataDxfId="101">
      <calculatedColumnFormula>'TLS RA Calculator'!$D$4*0.6</calculatedColumnFormula>
    </tableColumn>
    <tableColumn id="9" xr3:uid="{C0FF4DFE-D5E9-44A7-A13A-40FF45121517}" name="Month 7" dataDxfId="100">
      <calculatedColumnFormula>'TLS RA Calculator'!$D$4*0.55</calculatedColumnFormula>
    </tableColumn>
    <tableColumn id="10" xr3:uid="{E2828AE8-C43C-4F6E-9318-A5C07A34C516}" name="Month 8 " dataDxfId="99">
      <calculatedColumnFormula>'TLS RA Calculator'!$D$4*0.55</calculatedColumnFormula>
    </tableColumn>
    <tableColumn id="11" xr3:uid="{49BBD9C2-4EDF-4FA6-B4E7-E94D44CE7EA9}" name="Month 9" dataDxfId="98">
      <calculatedColumnFormula>'TLS RA Calculator'!$D$4*0.5</calculatedColumnFormula>
    </tableColumn>
    <tableColumn id="12" xr3:uid="{4F1513FA-2ADD-4AC9-BAE9-B175AFFA481D}" name="Month 10" dataDxfId="97">
      <calculatedColumnFormula>'TLS RA Calculator'!$D$4*0.5</calculatedColumnFormula>
    </tableColumn>
    <tableColumn id="13" xr3:uid="{6684BAF8-0839-43A2-BCDD-2A6976020614}" name="Month 11" dataDxfId="96">
      <calculatedColumnFormula>'TLS RA Calculator'!$D$4*0.45</calculatedColumnFormula>
    </tableColumn>
    <tableColumn id="14" xr3:uid="{E28D590D-2D9A-4A33-BA41-CCF212AAB619}" name="Month 12" dataDxfId="95">
      <calculatedColumnFormula>'TLS RA Calculator'!$D$4*0.45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294E7056-3B33-4B3A-B838-F8573F84F570}" name="Table1618" displayName="Table1618" ref="A11:O19" totalsRowShown="0" headerRowDxfId="94" dataDxfId="93" tableBorderDxfId="92">
  <autoFilter ref="A11:O19" xr:uid="{294E7056-3B33-4B3A-B838-F8573F84F570}"/>
  <tableColumns count="15">
    <tableColumn id="1" xr3:uid="{C4F28DC5-6BC6-4D8D-8CA8-0BDD4B38F6F8}" name="Income Limits -_x000a_Household Size (cont.)" dataDxfId="91"/>
    <tableColumn id="2" xr3:uid="{FB9BBE1A-C07F-403E-BF17-0E71682E5A8F}" name="Acutely Low Income_x000a_(Maximum 15% AMI) - Annual Total" dataDxfId="90" dataCellStyle="Currency"/>
    <tableColumn id="15" xr3:uid="{DDD3CF87-F5D2-2B48-8B8E-2E689CA47C40}" name="Acutely Low Income_x000a_(Maximum 15% AMI) - Monthly Total" dataDxfId="89" dataCellStyle="Currency">
      <calculatedColumnFormula>Table1618[[#This Row],[Acutely Low Income
(Maximum 15% AMI) - Annual Total]]/12</calculatedColumnFormula>
    </tableColumn>
    <tableColumn id="3" xr3:uid="{3080E826-0F38-4D36-B294-7024D6E4DA6D}" name="Month 13" dataDxfId="88">
      <calculatedColumnFormula>'TLS RA Calculator'!$D$4*0.4</calculatedColumnFormula>
    </tableColumn>
    <tableColumn id="4" xr3:uid="{62EF1908-BA0C-40E4-8FDD-78B62F71F913}" name="Month 14" dataDxfId="87">
      <calculatedColumnFormula>'TLS RA Calculator'!$D$4*0.4</calculatedColumnFormula>
    </tableColumn>
    <tableColumn id="5" xr3:uid="{C163AE58-0FE2-4C1B-A04B-9E58E67B7ACD}" name="Month 15" dataDxfId="86">
      <calculatedColumnFormula>'TLS RA Calculator'!$D$4*0.35</calculatedColumnFormula>
    </tableColumn>
    <tableColumn id="6" xr3:uid="{050BC3F7-8289-4003-A3B2-F2F81027345C}" name="Month 16" dataDxfId="85">
      <calculatedColumnFormula>'TLS RA Calculator'!$D$4*0.35</calculatedColumnFormula>
    </tableColumn>
    <tableColumn id="7" xr3:uid="{2F046A4B-2371-4ECA-9A30-31EB927206D5}" name="Month 17" dataDxfId="84">
      <calculatedColumnFormula>'TLS RA Calculator'!$D$4*0.3</calculatedColumnFormula>
    </tableColumn>
    <tableColumn id="8" xr3:uid="{EBE50CE6-C7AE-4B88-9224-E93B90DF78B0}" name="Month 18" dataDxfId="83">
      <calculatedColumnFormula>'TLS RA Calculator'!$D$4*0.3</calculatedColumnFormula>
    </tableColumn>
    <tableColumn id="9" xr3:uid="{6C1748D4-8920-444D-B911-CC2FF17C353F}" name="Month 19" dataDxfId="82">
      <calculatedColumnFormula>'TLS RA Calculator'!$D$4*0.25</calculatedColumnFormula>
    </tableColumn>
    <tableColumn id="10" xr3:uid="{5AB951D2-A8AB-4502-95D1-8BDF2E272132}" name="Month 20" dataDxfId="81">
      <calculatedColumnFormula>'TLS RA Calculator'!$D$4*0.25</calculatedColumnFormula>
    </tableColumn>
    <tableColumn id="11" xr3:uid="{936AFD67-D593-4CBA-9F0A-7516A0BFCCFD}" name="Month 21" dataDxfId="80">
      <calculatedColumnFormula>'TLS RA Calculator'!$D$4*0.2</calculatedColumnFormula>
    </tableColumn>
    <tableColumn id="12" xr3:uid="{9B9BB882-E72D-442A-9836-850FB3FA7ED8}" name="Month 22" dataDxfId="79">
      <calculatedColumnFormula>'TLS RA Calculator'!$D$4*0.2</calculatedColumnFormula>
    </tableColumn>
    <tableColumn id="13" xr3:uid="{07C94258-D10C-4BB5-8C87-CDA33C5987B2}" name="Month 23" dataDxfId="78">
      <calculatedColumnFormula>'TLS RA Calculator'!$D$4*0.15</calculatedColumnFormula>
    </tableColumn>
    <tableColumn id="14" xr3:uid="{7D6BE341-7E2D-46E2-A6B1-22699C62DEC1}" name="Month 24" dataDxfId="77">
      <calculatedColumnFormula>'TLS RA Calculator'!$D$4*0.1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19E7A21C-6D59-4818-8AC7-11871C3A9BF6}" name="Table14" displayName="Table14" ref="A1:O9" totalsRowShown="0" headerRowDxfId="76" dataDxfId="74" headerRowBorderDxfId="75" tableBorderDxfId="73">
  <autoFilter ref="A1:O9" xr:uid="{19E7A21C-6D59-4818-8AC7-11871C3A9BF6}"/>
  <tableColumns count="15">
    <tableColumn id="1" xr3:uid="{07ED6025-DB86-4113-94D8-0F25E29183DA}" name="Income Limits -_x000a_Household Size" dataDxfId="72"/>
    <tableColumn id="2" xr3:uid="{68B62689-FC53-410A-9606-31668B0AC9AB}" name="Extremely Low Income_x000a_(Maximum 30% AMI) - Annual Limit" dataDxfId="71" dataCellStyle="Currency"/>
    <tableColumn id="15" xr3:uid="{45E617D8-9377-CA4B-B9D9-8887CA9780BC}" name="Extremely Low Income_x000a_(Maximum 30% AMI) - Monthly Limit" dataDxfId="70" dataCellStyle="Currency">
      <calculatedColumnFormula>Table14[[#This Row],[Extremely Low Income
(Maximum 30% AMI) - Annual Limit]]/12</calculatedColumnFormula>
    </tableColumn>
    <tableColumn id="3" xr3:uid="{53871216-3082-41D6-9263-57A6027D1879}" name="Month 1" dataDxfId="69">
      <calculatedColumnFormula>'TLS RA Calculator'!$D$4*1</calculatedColumnFormula>
    </tableColumn>
    <tableColumn id="4" xr3:uid="{5A118D61-E610-4215-B088-5A122FB05485}" name="Month 2" dataDxfId="68">
      <calculatedColumnFormula>'TLS RA Calculator'!$D$4*0.85</calculatedColumnFormula>
    </tableColumn>
    <tableColumn id="5" xr3:uid="{D7E0A740-8BE6-4A7E-896B-259C83F3D45C}" name="Month 3" dataDxfId="67">
      <calculatedColumnFormula>'TLS RA Calculator'!$D$4*0.7</calculatedColumnFormula>
    </tableColumn>
    <tableColumn id="6" xr3:uid="{6C1F4D78-8350-49E3-97CF-3E8D09009E44}" name="Month 4 " dataDxfId="66">
      <calculatedColumnFormula>'TLS RA Calculator'!$D$4*0.65</calculatedColumnFormula>
    </tableColumn>
    <tableColumn id="7" xr3:uid="{23C203AE-4006-4479-95D9-D9BCF3BB1EB1}" name="Month 5" dataDxfId="65">
      <calculatedColumnFormula>'TLS RA Calculator'!$D$4*0.6</calculatedColumnFormula>
    </tableColumn>
    <tableColumn id="8" xr3:uid="{D83DEDA1-FB3C-44AF-9814-F311405FFB03}" name="Month 6" dataDxfId="64">
      <calculatedColumnFormula>'TLS RA Calculator'!$D$4*0.6</calculatedColumnFormula>
    </tableColumn>
    <tableColumn id="9" xr3:uid="{2CB807C2-504B-4DE5-97E5-5C9ACD07C517}" name="Month 7" dataDxfId="63">
      <calculatedColumnFormula>'TLS RA Calculator'!$D$4*0.55</calculatedColumnFormula>
    </tableColumn>
    <tableColumn id="10" xr3:uid="{F11E2759-7A20-47FE-BBBD-0DB294426A21}" name="Month 8 " dataDxfId="62">
      <calculatedColumnFormula>'TLS RA Calculator'!$D$4*0.55</calculatedColumnFormula>
    </tableColumn>
    <tableColumn id="11" xr3:uid="{D0D999C7-A54D-419F-83CB-4695C69F9CF2}" name="Month 9" dataDxfId="61">
      <calculatedColumnFormula>'TLS RA Calculator'!$D$4*0.5</calculatedColumnFormula>
    </tableColumn>
    <tableColumn id="12" xr3:uid="{F65D1B02-0906-4766-9A41-AC3D4327B8C6}" name="Month 10" dataDxfId="60">
      <calculatedColumnFormula>'TLS RA Calculator'!$D$4*0.5</calculatedColumnFormula>
    </tableColumn>
    <tableColumn id="13" xr3:uid="{B6B6B501-2CF8-43E2-BF78-6561BFB1019B}" name="Month 11" dataDxfId="59">
      <calculatedColumnFormula>'TLS RA Calculator'!$D$4*0.45</calculatedColumnFormula>
    </tableColumn>
    <tableColumn id="14" xr3:uid="{19A900C0-E3E3-43A4-92F3-94C47022F19D}" name="Month 12" dataDxfId="58">
      <calculatedColumnFormula>'TLS RA Calculator'!$D$4*0.45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949A954C-223B-4F01-A6E5-58A246D555F3}" name="Table1419" displayName="Table1419" ref="A11:I19" totalsRowShown="0" headerRowDxfId="57" dataDxfId="55" headerRowBorderDxfId="56" tableBorderDxfId="54">
  <autoFilter ref="A11:I19" xr:uid="{949A954C-223B-4F01-A6E5-58A246D555F3}"/>
  <tableColumns count="9">
    <tableColumn id="1" xr3:uid="{6ED6ADC3-00D2-44F0-95A7-B4D2CCF87A11}" name="Income Limits -_x000a_Household Size (Cont.)" dataDxfId="53"/>
    <tableColumn id="2" xr3:uid="{67EA7B96-E4CF-4553-9189-82F8F2E6D9B8}" name="Extremely Low Income_x000a_(Maximum 30% AMI) - Annual Limit" dataDxfId="52" dataCellStyle="Currency"/>
    <tableColumn id="15" xr3:uid="{15066DE3-4182-7540-BA6F-C8769AB2F434}" name="Extremely Low Income_x000a_(Maximum 30% AMI) - Monthly Limit" dataDxfId="51" dataCellStyle="Currency">
      <calculatedColumnFormula>Table1419[[#This Row],[Extremely Low Income
(Maximum 30% AMI) - Annual Limit]]/12</calculatedColumnFormula>
    </tableColumn>
    <tableColumn id="3" xr3:uid="{6902D135-2772-4660-8B89-9E7517D4EC3C}" name="Month 13" dataDxfId="50">
      <calculatedColumnFormula>'TLS RA Calculator'!$D$4*0.4</calculatedColumnFormula>
    </tableColumn>
    <tableColumn id="4" xr3:uid="{0014F593-CDF8-4C60-A8AD-B99D950CA12D}" name="Month 14" dataDxfId="49">
      <calculatedColumnFormula>'TLS RA Calculator'!$D$4*0.3</calculatedColumnFormula>
    </tableColumn>
    <tableColumn id="5" xr3:uid="{78DAF0AF-9661-4D7F-92A6-293295C08622}" name="Month 15" dataDxfId="48">
      <calculatedColumnFormula>'TLS RA Calculator'!$D$4*0.25</calculatedColumnFormula>
    </tableColumn>
    <tableColumn id="6" xr3:uid="{B3D18610-DA19-4DAC-B9E9-500FF1E73B57}" name="Month 16" dataDxfId="47">
      <calculatedColumnFormula>'TLS RA Calculator'!$D$4*0.2</calculatedColumnFormula>
    </tableColumn>
    <tableColumn id="7" xr3:uid="{6124540F-686F-4470-A381-DD8F30772057}" name="Month 17" dataDxfId="46">
      <calculatedColumnFormula>'TLS RA Calculator'!$D$4*0.1</calculatedColumnFormula>
    </tableColumn>
    <tableColumn id="8" xr3:uid="{28FE5F3F-A85C-48BC-B19A-4B5921D29301}" name="Month 18" dataDxfId="45">
      <calculatedColumnFormula>'TLS RA Calculator'!$D$4*0.1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462B501-5863-4DB3-96C6-641C9B7CC673}" name="Table13" displayName="Table13" ref="A1:O9" totalsRowShown="0" headerRowDxfId="44" dataDxfId="42" headerRowBorderDxfId="43" tableBorderDxfId="41">
  <autoFilter ref="A1:O9" xr:uid="{0462B501-5863-4DB3-96C6-641C9B7CC673}"/>
  <tableColumns count="15">
    <tableColumn id="1" xr3:uid="{41D23320-BB25-4B99-949D-85738B866D9A}" name="Income Limits -_x000a_Household Size" dataDxfId="40"/>
    <tableColumn id="2" xr3:uid="{2682580B-9745-40C4-8F32-38334E94B059}" name="Very Low Income_x000a_(Maximum 50% AMI) - Annual Limit" dataDxfId="39" dataCellStyle="Currency"/>
    <tableColumn id="15" xr3:uid="{DCD08111-0623-F84B-896F-A8F6B8A18258}" name="Very Low Income_x000a_(Maximum 50% AMI) - Monthly Limit" dataDxfId="38" dataCellStyle="Currency">
      <calculatedColumnFormula>Table13[[#This Row],[Very Low Income
(Maximum 50% AMI) - Annual Limit]]/12</calculatedColumnFormula>
    </tableColumn>
    <tableColumn id="3" xr3:uid="{41A341A8-6D99-49E2-8F4E-313BD193C9B2}" name="Month 1" dataDxfId="37">
      <calculatedColumnFormula>'TLS RA Calculator'!$D$4*1</calculatedColumnFormula>
    </tableColumn>
    <tableColumn id="4" xr3:uid="{888D8E32-0EBE-4592-9636-D1D78421427F}" name="Month 2" dataDxfId="36">
      <calculatedColumnFormula>'TLS RA Calculator'!$D$4*0.7</calculatedColumnFormula>
    </tableColumn>
    <tableColumn id="5" xr3:uid="{3A08E954-74C7-4BA1-ACAC-07F9445CAF82}" name="Month 3" dataDxfId="35">
      <calculatedColumnFormula>'TLS RA Calculator'!$D$4*0.6</calculatedColumnFormula>
    </tableColumn>
    <tableColumn id="6" xr3:uid="{537BB942-B7B4-492B-8A46-A00ABEA7C9B2}" name="Month 4 " dataDxfId="34">
      <calculatedColumnFormula>'TLS RA Calculator'!$D$4*0.6</calculatedColumnFormula>
    </tableColumn>
    <tableColumn id="7" xr3:uid="{DA2298CB-E634-49A1-8A5B-891471342B3C}" name="Month 5" dataDxfId="33">
      <calculatedColumnFormula>'TLS RA Calculator'!$D$4*0.5</calculatedColumnFormula>
    </tableColumn>
    <tableColumn id="8" xr3:uid="{006B62C4-E26E-4194-95E0-7D582DCE0508}" name="Month 6" dataDxfId="32">
      <calculatedColumnFormula>'TLS RA Calculator'!$D$4*0.5</calculatedColumnFormula>
    </tableColumn>
    <tableColumn id="9" xr3:uid="{FE90506F-3A4C-4241-A206-E47B709DBECE}" name="Month 7" dataDxfId="31">
      <calculatedColumnFormula>'TLS RA Calculator'!$D$4*0.4</calculatedColumnFormula>
    </tableColumn>
    <tableColumn id="10" xr3:uid="{1CB6A26F-753E-4ADE-8644-6762AD72FE17}" name="Month 8 " dataDxfId="30">
      <calculatedColumnFormula>'TLS RA Calculator'!$D$4*0.4</calculatedColumnFormula>
    </tableColumn>
    <tableColumn id="11" xr3:uid="{B8DDE5F1-B0A3-467E-9B2E-0F7560425E7B}" name="Month 9" dataDxfId="29">
      <calculatedColumnFormula>'TLS RA Calculator'!$D$4*0.3</calculatedColumnFormula>
    </tableColumn>
    <tableColumn id="12" xr3:uid="{09B3A11D-E254-46CB-8284-7E6AB4B4B4BF}" name="Month 10" dataDxfId="28">
      <calculatedColumnFormula>'TLS RA Calculator'!$D$4*0.3</calculatedColumnFormula>
    </tableColumn>
    <tableColumn id="13" xr3:uid="{9B88DE5C-4599-40CE-AB0A-D9BF3BC6FF89}" name="Month 11" dataDxfId="27">
      <calculatedColumnFormula>'TLS RA Calculator'!$D$4*0.2</calculatedColumnFormula>
    </tableColumn>
    <tableColumn id="14" xr3:uid="{8700EDCC-1DAA-430A-B52A-2C5EE4AC44D0}" name="Month 12" dataDxfId="26">
      <calculatedColumnFormula>'TLS RA Calculator'!$D$4*0.1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6641435-B9EB-CD4D-BD83-C0E7A7D5C77B}" name="Table1611" displayName="Table1611" ref="A1:Y4" totalsRowShown="0" headerRowDxfId="25">
  <autoFilter ref="A1:Y4" xr:uid="{D8D9AFC6-35BE-4261-B059-478DDBE216A3}"/>
  <tableColumns count="25">
    <tableColumn id="1" xr3:uid="{0294C62E-B7B1-154E-95A6-2D10D24D9FD2}" name="Tracks"/>
    <tableColumn id="3" xr3:uid="{0722744A-C5A2-0540-AB5B-2DA7A4528D2F}" name="Month 1" dataDxfId="24">
      <calculatedColumnFormula>#REF!*1</calculatedColumnFormula>
    </tableColumn>
    <tableColumn id="4" xr3:uid="{0EA77F67-16D7-FC41-8224-49E81D9D2589}" name="Month 2" dataDxfId="23">
      <calculatedColumnFormula>#REF!*0.85</calculatedColumnFormula>
    </tableColumn>
    <tableColumn id="5" xr3:uid="{A054A464-CE8F-A442-9B10-C00770928778}" name="Month 3" dataDxfId="22">
      <calculatedColumnFormula>#REF!*0.7</calculatedColumnFormula>
    </tableColumn>
    <tableColumn id="6" xr3:uid="{5896582F-214B-E642-B4BA-C445DFA84696}" name="Month 4 " dataDxfId="21">
      <calculatedColumnFormula>#REF!*0.65</calculatedColumnFormula>
    </tableColumn>
    <tableColumn id="7" xr3:uid="{DA8BC00F-19FB-0449-B173-43BD2CB2EF72}" name="Month 5" dataDxfId="20">
      <calculatedColumnFormula>#REF!*0.6</calculatedColumnFormula>
    </tableColumn>
    <tableColumn id="8" xr3:uid="{B43A179C-DB47-4044-BA0B-56D94F566E0E}" name="Month 6" dataDxfId="19">
      <calculatedColumnFormula>#REF!*0.6</calculatedColumnFormula>
    </tableColumn>
    <tableColumn id="9" xr3:uid="{84DEC20F-61D9-B147-B048-8E813C99EB63}" name="Month 7" dataDxfId="18">
      <calculatedColumnFormula>#REF!*0.55</calculatedColumnFormula>
    </tableColumn>
    <tableColumn id="10" xr3:uid="{42FDD153-A5DE-3E41-97CA-E647E6AB6B19}" name="Month 8 " dataDxfId="17">
      <calculatedColumnFormula>#REF!*0.55</calculatedColumnFormula>
    </tableColumn>
    <tableColumn id="11" xr3:uid="{5788778A-B6F6-4E42-8635-A7AFCBDBD51D}" name="Month 9" dataDxfId="16">
      <calculatedColumnFormula>#REF!*0.5</calculatedColumnFormula>
    </tableColumn>
    <tableColumn id="12" xr3:uid="{ABF69A89-F383-4D4F-BA57-735F963964C7}" name="Month 10" dataDxfId="15">
      <calculatedColumnFormula>#REF!*0.5</calculatedColumnFormula>
    </tableColumn>
    <tableColumn id="13" xr3:uid="{87130C93-6C81-924E-A244-5BA56E385413}" name="Month 11" dataDxfId="14">
      <calculatedColumnFormula>#REF!*0.45</calculatedColumnFormula>
    </tableColumn>
    <tableColumn id="14" xr3:uid="{462EF857-EC89-2C4B-A342-0A4EE65CCB2F}" name="Month 12" dataDxfId="13">
      <calculatedColumnFormula>#REF!*0.45</calculatedColumnFormula>
    </tableColumn>
    <tableColumn id="2" xr3:uid="{397393A7-8985-43CA-ACEE-0AE76C6BD8B7}" name="Month 13" dataDxfId="12"/>
    <tableColumn id="15" xr3:uid="{CD80B4A8-8AEF-4C54-8CE2-9D99FEEEE80A}" name="Month 14" dataDxfId="11"/>
    <tableColumn id="16" xr3:uid="{C938AFAF-776F-4C61-A07D-15DCCE56F23C}" name="Month 15" dataDxfId="10"/>
    <tableColumn id="17" xr3:uid="{51B7C06D-5316-4F96-9C31-5B57382EADAB}" name="Month 16" dataDxfId="9"/>
    <tableColumn id="18" xr3:uid="{819746E8-0DD0-4CF0-A94E-9F1B33484912}" name="Month 17" dataDxfId="8"/>
    <tableColumn id="19" xr3:uid="{387E6D48-11EF-4380-B75A-1AAEEB6DD682}" name="Month 18" dataDxfId="7"/>
    <tableColumn id="20" xr3:uid="{7EAF8167-57AD-4CD0-946B-0CABFC859D13}" name="Month 19" dataDxfId="6"/>
    <tableColumn id="21" xr3:uid="{29279399-235D-43BE-B8AC-82E84E54ED18}" name="Month 20" dataDxfId="5"/>
    <tableColumn id="22" xr3:uid="{565EE4EC-D5B1-46B6-A907-B1D986601187}" name="Month 21" dataDxfId="4"/>
    <tableColumn id="23" xr3:uid="{BDD1FC6A-A83C-4B01-9818-524B0A14A6F2}" name="Month 22" dataDxfId="3"/>
    <tableColumn id="24" xr3:uid="{8B22770E-1B1E-4E7C-82E5-E50AEAED643E}" name="Month 23" dataDxfId="2"/>
    <tableColumn id="25" xr3:uid="{608E3CD3-7EF6-4D64-A419-CAF4057B541B}" name="Month 24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742A3-65D6-46CF-92D2-D46FFA2C02F8}">
  <dimension ref="B1:I21"/>
  <sheetViews>
    <sheetView tabSelected="1" workbookViewId="0">
      <selection activeCell="D5" sqref="D5"/>
    </sheetView>
  </sheetViews>
  <sheetFormatPr defaultColWidth="11" defaultRowHeight="15.75" x14ac:dyDescent="0.25"/>
  <cols>
    <col min="1" max="1" width="4" style="3" customWidth="1"/>
    <col min="2" max="2" width="39.375" style="3" customWidth="1"/>
    <col min="3" max="3" width="56.625" style="3" customWidth="1"/>
    <col min="4" max="4" width="26.125" style="3" bestFit="1" customWidth="1"/>
    <col min="5" max="16384" width="11" style="3"/>
  </cols>
  <sheetData>
    <row r="1" spans="2:9" ht="16.5" thickBot="1" x14ac:dyDescent="0.3"/>
    <row r="2" spans="2:9" ht="31.5" customHeight="1" x14ac:dyDescent="0.4">
      <c r="B2" s="102" t="s">
        <v>49</v>
      </c>
      <c r="C2" s="86" t="s">
        <v>44</v>
      </c>
      <c r="D2" s="87">
        <v>3</v>
      </c>
    </row>
    <row r="3" spans="2:9" ht="26.25" x14ac:dyDescent="0.4">
      <c r="B3" s="103"/>
      <c r="C3" s="88" t="s">
        <v>42</v>
      </c>
      <c r="D3" s="89">
        <v>3</v>
      </c>
    </row>
    <row r="4" spans="2:9" ht="26.25" x14ac:dyDescent="0.4">
      <c r="B4" s="103"/>
      <c r="C4" s="88" t="s">
        <v>62</v>
      </c>
      <c r="D4" s="90">
        <v>123</v>
      </c>
    </row>
    <row r="5" spans="2:9" ht="27" thickBot="1" x14ac:dyDescent="0.45">
      <c r="B5" s="104"/>
      <c r="C5" s="91" t="s">
        <v>61</v>
      </c>
      <c r="D5" s="92">
        <v>432</v>
      </c>
    </row>
    <row r="6" spans="2:9" ht="31.5" customHeight="1" x14ac:dyDescent="0.4">
      <c r="B6" s="105" t="s">
        <v>50</v>
      </c>
      <c r="C6" s="93" t="s">
        <v>45</v>
      </c>
      <c r="D6" s="96">
        <f>MIN(IFERROR(INDEX(_xlfn.XLOOKUP('Reference Table'!B7, Table1611[Tracks], Table1611[[Month 1]:[Month 24]]), MATCH("Month "&amp;D2, Table1611[[#Headers],[Month 1]:[Month 24]],0)), 0), D4)</f>
        <v>104.55</v>
      </c>
      <c r="F6" s="8"/>
    </row>
    <row r="7" spans="2:9" ht="26.25" x14ac:dyDescent="0.4">
      <c r="B7" s="106"/>
      <c r="C7" s="94" t="s">
        <v>46</v>
      </c>
      <c r="D7" s="97">
        <f>IFERROR(IF(D4-D6&lt;0,"",D4-D6), "")</f>
        <v>18.450000000000003</v>
      </c>
      <c r="F7" s="8"/>
    </row>
    <row r="8" spans="2:9" ht="31.5" customHeight="1" thickBot="1" x14ac:dyDescent="0.45">
      <c r="B8" s="107"/>
      <c r="C8" s="95" t="s">
        <v>36</v>
      </c>
      <c r="D8" s="98">
        <f>D4/D5</f>
        <v>0.28472222222222221</v>
      </c>
    </row>
    <row r="11" spans="2:9" ht="16.5" thickBot="1" x14ac:dyDescent="0.3"/>
    <row r="12" spans="2:9" ht="21" x14ac:dyDescent="0.35">
      <c r="B12" s="108" t="s">
        <v>63</v>
      </c>
      <c r="C12" s="109"/>
      <c r="D12" s="109"/>
      <c r="E12" s="109"/>
      <c r="F12" s="109"/>
      <c r="G12" s="109"/>
      <c r="H12" s="109"/>
      <c r="I12" s="110"/>
    </row>
    <row r="13" spans="2:9" ht="21" x14ac:dyDescent="0.35">
      <c r="B13" s="111" t="s">
        <v>64</v>
      </c>
      <c r="C13" s="112"/>
      <c r="D13" s="112"/>
      <c r="E13" s="112"/>
      <c r="F13" s="112"/>
      <c r="G13" s="112"/>
      <c r="H13" s="112"/>
      <c r="I13" s="113"/>
    </row>
    <row r="14" spans="2:9" ht="21.75" thickBot="1" x14ac:dyDescent="0.4">
      <c r="B14" s="114" t="s">
        <v>67</v>
      </c>
      <c r="C14" s="115"/>
      <c r="D14" s="115"/>
      <c r="E14" s="115"/>
      <c r="F14" s="115"/>
      <c r="G14" s="115"/>
      <c r="H14" s="115"/>
      <c r="I14" s="116"/>
    </row>
    <row r="15" spans="2:9" x14ac:dyDescent="0.25">
      <c r="C15" s="5"/>
    </row>
    <row r="17" spans="4:4" x14ac:dyDescent="0.25">
      <c r="D17" s="6"/>
    </row>
    <row r="18" spans="4:4" x14ac:dyDescent="0.25">
      <c r="D18"/>
    </row>
    <row r="21" spans="4:4" x14ac:dyDescent="0.25">
      <c r="D21" s="7"/>
    </row>
  </sheetData>
  <sheetProtection algorithmName="SHA-512" hashValue="xdrnPxNHwOabUdYDAE07Op3MQlOx/xcEIw3w4rOp67SM+G71MWevzG8GzoX3dCVYtGQAz7sU8Dcx4MXvjRk6zw==" saltValue="lSOc9MxfWD8Psd84RzM6Iw==" spinCount="100000" sheet="1" objects="1" scenarios="1" selectLockedCells="1"/>
  <mergeCells count="5">
    <mergeCell ref="B2:B5"/>
    <mergeCell ref="B6:B8"/>
    <mergeCell ref="B12:I12"/>
    <mergeCell ref="B13:I13"/>
    <mergeCell ref="B14:I14"/>
  </mergeCells>
  <conditionalFormatting sqref="D8">
    <cfRule type="cellIs" dxfId="0" priority="1" operator="greaterThan">
      <formula>0.5</formula>
    </cfRule>
  </conditionalFormatting>
  <dataValidations count="2">
    <dataValidation type="list" allowBlank="1" showInputMessage="1" showErrorMessage="1" sqref="D3" xr:uid="{FC593BC2-1EAB-48F6-B206-DF81E60BEC56}">
      <formula1>"1, 2, 3, 4, 5, 6, 7, 8"</formula1>
    </dataValidation>
    <dataValidation type="list" allowBlank="1" showInputMessage="1" showErrorMessage="1" sqref="D2" xr:uid="{E9337721-C7D8-479A-8797-EB02775643B2}">
      <formula1>"1, 2, 3, 4, 5, 6, 7, 8, 9, 10, 11, 12, 13, 14, 15, 16, 17, 18, 19, 20, 21, 22, 23, 24"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4446C-34EB-D44B-A1A1-66B1BA6DE95A}">
  <dimension ref="A1:J12"/>
  <sheetViews>
    <sheetView zoomScale="120" zoomScaleNormal="120" workbookViewId="0">
      <selection activeCell="G4" sqref="G4"/>
    </sheetView>
  </sheetViews>
  <sheetFormatPr defaultColWidth="11" defaultRowHeight="15.75" x14ac:dyDescent="0.25"/>
  <cols>
    <col min="1" max="1" width="20" customWidth="1"/>
    <col min="2" max="2" width="11.5" bestFit="1" customWidth="1"/>
    <col min="3" max="4" width="13.125" customWidth="1"/>
    <col min="5" max="5" width="13.875" customWidth="1"/>
    <col min="6" max="6" width="13.375" customWidth="1"/>
    <col min="7" max="7" width="13.125" customWidth="1"/>
    <col min="8" max="8" width="12.375" customWidth="1"/>
    <col min="9" max="9" width="12.5" bestFit="1" customWidth="1"/>
    <col min="10" max="10" width="14.625" customWidth="1"/>
  </cols>
  <sheetData>
    <row r="1" spans="1:10" ht="6.75" customHeight="1" thickBot="1" x14ac:dyDescent="0.3"/>
    <row r="2" spans="1:10" x14ac:dyDescent="0.25">
      <c r="A2" s="99" t="s">
        <v>65</v>
      </c>
      <c r="B2" s="100"/>
      <c r="C2" s="100"/>
      <c r="D2" s="100"/>
      <c r="E2" s="100"/>
      <c r="F2" s="100"/>
      <c r="G2" s="100"/>
      <c r="H2" s="100"/>
      <c r="I2" s="100"/>
      <c r="J2" s="101"/>
    </row>
    <row r="3" spans="1:10" ht="31.5" x14ac:dyDescent="0.25">
      <c r="A3" s="59" t="s">
        <v>52</v>
      </c>
      <c r="B3" s="60" t="s">
        <v>41</v>
      </c>
      <c r="C3" s="61" t="s">
        <v>51</v>
      </c>
      <c r="D3" s="62" t="s">
        <v>4</v>
      </c>
      <c r="E3" s="62" t="s">
        <v>6</v>
      </c>
      <c r="F3" s="62" t="s">
        <v>5</v>
      </c>
      <c r="G3" s="62" t="s">
        <v>7</v>
      </c>
      <c r="H3" s="62" t="s">
        <v>8</v>
      </c>
      <c r="I3" s="62" t="s">
        <v>9</v>
      </c>
      <c r="J3" s="63" t="s">
        <v>10</v>
      </c>
    </row>
    <row r="4" spans="1:10" ht="31.5" x14ac:dyDescent="0.25">
      <c r="A4" s="26" t="s">
        <v>0</v>
      </c>
      <c r="B4" s="22">
        <v>1</v>
      </c>
      <c r="C4" s="23">
        <v>11200</v>
      </c>
      <c r="D4" s="10">
        <v>12800</v>
      </c>
      <c r="E4" s="10">
        <v>14400</v>
      </c>
      <c r="F4" s="10">
        <v>16000</v>
      </c>
      <c r="G4" s="10">
        <v>17300</v>
      </c>
      <c r="H4" s="10">
        <v>18550</v>
      </c>
      <c r="I4" s="10">
        <v>19850</v>
      </c>
      <c r="J4" s="27">
        <v>21100</v>
      </c>
    </row>
    <row r="5" spans="1:10" ht="31.5" x14ac:dyDescent="0.25">
      <c r="A5" s="26" t="s">
        <v>1</v>
      </c>
      <c r="B5" s="22">
        <v>2</v>
      </c>
      <c r="C5" s="23">
        <v>31850</v>
      </c>
      <c r="D5" s="10">
        <v>36400</v>
      </c>
      <c r="E5" s="10">
        <v>40950</v>
      </c>
      <c r="F5" s="10">
        <v>45450</v>
      </c>
      <c r="G5" s="10">
        <v>49100</v>
      </c>
      <c r="H5" s="10">
        <v>52750</v>
      </c>
      <c r="I5" s="10">
        <v>56400</v>
      </c>
      <c r="J5" s="27">
        <v>60000</v>
      </c>
    </row>
    <row r="6" spans="1:10" ht="31.5" x14ac:dyDescent="0.25">
      <c r="A6" s="28" t="s">
        <v>2</v>
      </c>
      <c r="B6" s="29">
        <v>3</v>
      </c>
      <c r="C6" s="30">
        <v>53000</v>
      </c>
      <c r="D6" s="31">
        <v>60600</v>
      </c>
      <c r="E6" s="31">
        <v>68150</v>
      </c>
      <c r="F6" s="31">
        <v>75750</v>
      </c>
      <c r="G6" s="31">
        <v>81800</v>
      </c>
      <c r="H6" s="31">
        <v>87850</v>
      </c>
      <c r="I6" s="31">
        <v>93900</v>
      </c>
      <c r="J6" s="32">
        <v>100000</v>
      </c>
    </row>
    <row r="7" spans="1:10" ht="36" customHeight="1" thickBot="1" x14ac:dyDescent="0.3">
      <c r="A7" s="4"/>
      <c r="B7" s="4"/>
      <c r="C7" s="4"/>
      <c r="D7" s="4"/>
      <c r="E7" s="4"/>
      <c r="F7" s="4"/>
      <c r="G7" s="4"/>
      <c r="H7" s="4"/>
      <c r="I7" s="4"/>
      <c r="J7" s="4"/>
    </row>
    <row r="8" spans="1:10" x14ac:dyDescent="0.25">
      <c r="A8" s="99" t="s">
        <v>66</v>
      </c>
      <c r="B8" s="100"/>
      <c r="C8" s="100"/>
      <c r="D8" s="100"/>
      <c r="E8" s="100"/>
      <c r="F8" s="100"/>
      <c r="G8" s="100"/>
      <c r="H8" s="100"/>
      <c r="I8" s="100"/>
      <c r="J8" s="101"/>
    </row>
    <row r="9" spans="1:10" ht="31.5" x14ac:dyDescent="0.25">
      <c r="A9" s="24" t="s">
        <v>52</v>
      </c>
      <c r="B9" s="25" t="s">
        <v>41</v>
      </c>
      <c r="C9" s="64" t="s">
        <v>51</v>
      </c>
      <c r="D9" s="65" t="s">
        <v>4</v>
      </c>
      <c r="E9" s="65" t="s">
        <v>6</v>
      </c>
      <c r="F9" s="65" t="s">
        <v>5</v>
      </c>
      <c r="G9" s="65" t="s">
        <v>7</v>
      </c>
      <c r="H9" s="65" t="s">
        <v>8</v>
      </c>
      <c r="I9" s="65" t="s">
        <v>9</v>
      </c>
      <c r="J9" s="66" t="s">
        <v>10</v>
      </c>
    </row>
    <row r="10" spans="1:10" ht="31.5" x14ac:dyDescent="0.25">
      <c r="A10" s="26" t="s">
        <v>0</v>
      </c>
      <c r="B10" s="22">
        <v>1</v>
      </c>
      <c r="C10" s="23">
        <f>C4/12</f>
        <v>933.33333333333337</v>
      </c>
      <c r="D10" s="10">
        <f t="shared" ref="D10:J10" si="0">D4/12</f>
        <v>1066.6666666666667</v>
      </c>
      <c r="E10" s="10">
        <f t="shared" si="0"/>
        <v>1200</v>
      </c>
      <c r="F10" s="10">
        <f t="shared" si="0"/>
        <v>1333.3333333333333</v>
      </c>
      <c r="G10" s="10">
        <f t="shared" si="0"/>
        <v>1441.6666666666667</v>
      </c>
      <c r="H10" s="10">
        <f t="shared" si="0"/>
        <v>1545.8333333333333</v>
      </c>
      <c r="I10" s="10">
        <f t="shared" si="0"/>
        <v>1654.1666666666667</v>
      </c>
      <c r="J10" s="27">
        <f t="shared" si="0"/>
        <v>1758.3333333333333</v>
      </c>
    </row>
    <row r="11" spans="1:10" ht="31.5" x14ac:dyDescent="0.25">
      <c r="A11" s="26" t="s">
        <v>1</v>
      </c>
      <c r="B11" s="22">
        <v>2</v>
      </c>
      <c r="C11" s="23">
        <f t="shared" ref="C11:J12" si="1">C5/12</f>
        <v>2654.1666666666665</v>
      </c>
      <c r="D11" s="10">
        <f t="shared" si="1"/>
        <v>3033.3333333333335</v>
      </c>
      <c r="E11" s="10">
        <f t="shared" si="1"/>
        <v>3412.5</v>
      </c>
      <c r="F11" s="10">
        <f t="shared" si="1"/>
        <v>3787.5</v>
      </c>
      <c r="G11" s="10">
        <f t="shared" si="1"/>
        <v>4091.6666666666665</v>
      </c>
      <c r="H11" s="10">
        <f t="shared" si="1"/>
        <v>4395.833333333333</v>
      </c>
      <c r="I11" s="10">
        <f t="shared" si="1"/>
        <v>4700</v>
      </c>
      <c r="J11" s="27">
        <f t="shared" si="1"/>
        <v>5000</v>
      </c>
    </row>
    <row r="12" spans="1:10" ht="31.5" x14ac:dyDescent="0.25">
      <c r="A12" s="28" t="s">
        <v>2</v>
      </c>
      <c r="B12" s="29">
        <v>3</v>
      </c>
      <c r="C12" s="30">
        <f t="shared" si="1"/>
        <v>4416.666666666667</v>
      </c>
      <c r="D12" s="31">
        <f t="shared" si="1"/>
        <v>5050</v>
      </c>
      <c r="E12" s="31">
        <f t="shared" si="1"/>
        <v>5679.166666666667</v>
      </c>
      <c r="F12" s="31">
        <f t="shared" si="1"/>
        <v>6312.5</v>
      </c>
      <c r="G12" s="31">
        <f t="shared" si="1"/>
        <v>6816.666666666667</v>
      </c>
      <c r="H12" s="31">
        <f t="shared" si="1"/>
        <v>7320.833333333333</v>
      </c>
      <c r="I12" s="31">
        <f t="shared" si="1"/>
        <v>7825</v>
      </c>
      <c r="J12" s="32">
        <f>J6/12</f>
        <v>8333.3333333333339</v>
      </c>
    </row>
  </sheetData>
  <sheetProtection algorithmName="SHA-512" hashValue="tqT3kOyt9gEllEjMM8V+yZgs86y326YSXLPZAm0rJWYKe+5D2SXECQKFvgS8Pr0mbOw6pSruLgx4f3voXbBxNA==" saltValue="p08EDC2POCMgECP4HTqUMw==" spinCount="100000" sheet="1" objects="1" scenarios="1" selectLockedCells="1" selectUnlockedCells="1"/>
  <mergeCells count="2">
    <mergeCell ref="A8:J8"/>
    <mergeCell ref="A2:J2"/>
  </mergeCells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99D2B-97E7-4605-AD10-03DC4F481D13}">
  <dimension ref="A1:O19"/>
  <sheetViews>
    <sheetView workbookViewId="0">
      <selection activeCell="E59" sqref="E59"/>
    </sheetView>
  </sheetViews>
  <sheetFormatPr defaultColWidth="15.5" defaultRowHeight="15.75" x14ac:dyDescent="0.25"/>
  <sheetData>
    <row r="1" spans="1:15" s="1" customFormat="1" ht="79.5" thickBot="1" x14ac:dyDescent="0.3">
      <c r="A1" s="67" t="s">
        <v>52</v>
      </c>
      <c r="B1" s="68" t="s">
        <v>55</v>
      </c>
      <c r="C1" s="69" t="s">
        <v>56</v>
      </c>
      <c r="D1" s="70" t="s">
        <v>11</v>
      </c>
      <c r="E1" s="71" t="s">
        <v>12</v>
      </c>
      <c r="F1" s="71" t="s">
        <v>13</v>
      </c>
      <c r="G1" s="71" t="s">
        <v>14</v>
      </c>
      <c r="H1" s="71" t="s">
        <v>15</v>
      </c>
      <c r="I1" s="71" t="s">
        <v>16</v>
      </c>
      <c r="J1" s="71" t="s">
        <v>17</v>
      </c>
      <c r="K1" s="71" t="s">
        <v>18</v>
      </c>
      <c r="L1" s="71" t="s">
        <v>19</v>
      </c>
      <c r="M1" s="71" t="s">
        <v>20</v>
      </c>
      <c r="N1" s="71" t="s">
        <v>21</v>
      </c>
      <c r="O1" s="71" t="s">
        <v>22</v>
      </c>
    </row>
    <row r="2" spans="1:15" x14ac:dyDescent="0.25">
      <c r="A2" s="36" t="s">
        <v>3</v>
      </c>
      <c r="B2" s="37">
        <v>16215</v>
      </c>
      <c r="C2" s="38">
        <f>Table16[[#This Row],[Acutely Low Income
(Maximum 15% AMI) - Annual Total]]/12</f>
        <v>1351.25</v>
      </c>
      <c r="D2" s="33">
        <f>'TLS RA Calculator'!$D$4*1</f>
        <v>123</v>
      </c>
      <c r="E2" s="34">
        <f>'TLS RA Calculator'!$D$4*1</f>
        <v>123</v>
      </c>
      <c r="F2" s="34">
        <f>'TLS RA Calculator'!$D$4*0.85</f>
        <v>104.55</v>
      </c>
      <c r="G2" s="34">
        <f>'TLS RA Calculator'!$D$4*0.7</f>
        <v>86.1</v>
      </c>
      <c r="H2" s="34">
        <f>'TLS RA Calculator'!$D$4*0.65</f>
        <v>79.95</v>
      </c>
      <c r="I2" s="34">
        <f>'TLS RA Calculator'!$D$4*0.6</f>
        <v>73.8</v>
      </c>
      <c r="J2" s="34">
        <f>'TLS RA Calculator'!$D$4*0.55</f>
        <v>67.650000000000006</v>
      </c>
      <c r="K2" s="34">
        <f>'TLS RA Calculator'!$D$4*0.55</f>
        <v>67.650000000000006</v>
      </c>
      <c r="L2" s="34">
        <f>'TLS RA Calculator'!$D$4*0.5</f>
        <v>61.5</v>
      </c>
      <c r="M2" s="34">
        <f>'TLS RA Calculator'!$D$4*0.5</f>
        <v>61.5</v>
      </c>
      <c r="N2" s="34">
        <f>'TLS RA Calculator'!$D$4*0.45</f>
        <v>55.35</v>
      </c>
      <c r="O2" s="35">
        <f>'TLS RA Calculator'!$D$4*0.45</f>
        <v>55.35</v>
      </c>
    </row>
    <row r="3" spans="1:15" x14ac:dyDescent="0.25">
      <c r="A3" s="39" t="s">
        <v>4</v>
      </c>
      <c r="B3" s="12">
        <v>18525</v>
      </c>
      <c r="C3" s="40">
        <f>Table16[[#This Row],[Acutely Low Income
(Maximum 15% AMI) - Annual Total]]/12</f>
        <v>1543.75</v>
      </c>
      <c r="D3" s="17">
        <f>'TLS RA Calculator'!$D$4*1</f>
        <v>123</v>
      </c>
      <c r="E3" s="13">
        <f>'TLS RA Calculator'!$D$4*1</f>
        <v>123</v>
      </c>
      <c r="F3" s="13">
        <f>'TLS RA Calculator'!$D$4*0.85</f>
        <v>104.55</v>
      </c>
      <c r="G3" s="13">
        <f>'TLS RA Calculator'!$D$4*0.7</f>
        <v>86.1</v>
      </c>
      <c r="H3" s="13">
        <f>'TLS RA Calculator'!$D$4*0.65</f>
        <v>79.95</v>
      </c>
      <c r="I3" s="13">
        <f>'TLS RA Calculator'!$D$4*0.6</f>
        <v>73.8</v>
      </c>
      <c r="J3" s="13">
        <f>'TLS RA Calculator'!$D$4*0.55</f>
        <v>67.650000000000006</v>
      </c>
      <c r="K3" s="13">
        <f>'TLS RA Calculator'!$D$4*0.55</f>
        <v>67.650000000000006</v>
      </c>
      <c r="L3" s="13">
        <f>'TLS RA Calculator'!$D$4*0.5</f>
        <v>61.5</v>
      </c>
      <c r="M3" s="13">
        <f>'TLS RA Calculator'!$D$4*0.5</f>
        <v>61.5</v>
      </c>
      <c r="N3" s="13">
        <f>'TLS RA Calculator'!$D$4*0.45</f>
        <v>55.35</v>
      </c>
      <c r="O3" s="18">
        <f>'TLS RA Calculator'!$D$4*0.45</f>
        <v>55.35</v>
      </c>
    </row>
    <row r="4" spans="1:15" x14ac:dyDescent="0.25">
      <c r="A4" s="39" t="s">
        <v>6</v>
      </c>
      <c r="B4" s="12">
        <v>20835</v>
      </c>
      <c r="C4" s="40">
        <f>Table16[[#This Row],[Acutely Low Income
(Maximum 15% AMI) - Annual Total]]/12</f>
        <v>1736.25</v>
      </c>
      <c r="D4" s="17">
        <f>'TLS RA Calculator'!$D$4*1</f>
        <v>123</v>
      </c>
      <c r="E4" s="13">
        <f>'TLS RA Calculator'!$D$4*1</f>
        <v>123</v>
      </c>
      <c r="F4" s="13">
        <f>'TLS RA Calculator'!$D$4*0.85</f>
        <v>104.55</v>
      </c>
      <c r="G4" s="13">
        <f>'TLS RA Calculator'!$D$4*0.7</f>
        <v>86.1</v>
      </c>
      <c r="H4" s="13">
        <f>'TLS RA Calculator'!$D$4*0.65</f>
        <v>79.95</v>
      </c>
      <c r="I4" s="13">
        <f>'TLS RA Calculator'!$D$4*0.6</f>
        <v>73.8</v>
      </c>
      <c r="J4" s="13">
        <f>'TLS RA Calculator'!$D$4*0.55</f>
        <v>67.650000000000006</v>
      </c>
      <c r="K4" s="13">
        <f>'TLS RA Calculator'!$D$4*0.55</f>
        <v>67.650000000000006</v>
      </c>
      <c r="L4" s="13">
        <f>'TLS RA Calculator'!$D$4*0.5</f>
        <v>61.5</v>
      </c>
      <c r="M4" s="13">
        <f>'TLS RA Calculator'!$D$4*0.5</f>
        <v>61.5</v>
      </c>
      <c r="N4" s="13">
        <f>'TLS RA Calculator'!$D$4*0.45</f>
        <v>55.35</v>
      </c>
      <c r="O4" s="18">
        <f>'TLS RA Calculator'!$D$4*0.45</f>
        <v>55.35</v>
      </c>
    </row>
    <row r="5" spans="1:15" x14ac:dyDescent="0.25">
      <c r="A5" s="39" t="s">
        <v>5</v>
      </c>
      <c r="B5" s="12">
        <v>23145</v>
      </c>
      <c r="C5" s="40">
        <f>Table16[[#This Row],[Acutely Low Income
(Maximum 15% AMI) - Annual Total]]/12</f>
        <v>1928.75</v>
      </c>
      <c r="D5" s="17">
        <f>'TLS RA Calculator'!$D$4*1</f>
        <v>123</v>
      </c>
      <c r="E5" s="13">
        <f>'TLS RA Calculator'!$D$4*1</f>
        <v>123</v>
      </c>
      <c r="F5" s="13">
        <f>'TLS RA Calculator'!$D$4*0.85</f>
        <v>104.55</v>
      </c>
      <c r="G5" s="13">
        <f>'TLS RA Calculator'!$D$4*0.7</f>
        <v>86.1</v>
      </c>
      <c r="H5" s="13">
        <f>'TLS RA Calculator'!$D$4*0.65</f>
        <v>79.95</v>
      </c>
      <c r="I5" s="13">
        <f>'TLS RA Calculator'!$D$4*0.6</f>
        <v>73.8</v>
      </c>
      <c r="J5" s="13">
        <f>'TLS RA Calculator'!$D$4*0.55</f>
        <v>67.650000000000006</v>
      </c>
      <c r="K5" s="13">
        <f>'TLS RA Calculator'!$D$4*0.55</f>
        <v>67.650000000000006</v>
      </c>
      <c r="L5" s="13">
        <f>'TLS RA Calculator'!$D$4*0.5</f>
        <v>61.5</v>
      </c>
      <c r="M5" s="13">
        <f>'TLS RA Calculator'!$D$4*0.5</f>
        <v>61.5</v>
      </c>
      <c r="N5" s="13">
        <f>'TLS RA Calculator'!$D$4*0.45</f>
        <v>55.35</v>
      </c>
      <c r="O5" s="18">
        <f>'TLS RA Calculator'!$D$4*0.45</f>
        <v>55.35</v>
      </c>
    </row>
    <row r="6" spans="1:15" x14ac:dyDescent="0.25">
      <c r="A6" s="39" t="s">
        <v>7</v>
      </c>
      <c r="B6" s="12">
        <v>24985</v>
      </c>
      <c r="C6" s="40">
        <f>Table16[[#This Row],[Acutely Low Income
(Maximum 15% AMI) - Annual Total]]/12</f>
        <v>2082.0833333333335</v>
      </c>
      <c r="D6" s="17">
        <f>'TLS RA Calculator'!$D$4*1</f>
        <v>123</v>
      </c>
      <c r="E6" s="13">
        <f>'TLS RA Calculator'!$D$4*1</f>
        <v>123</v>
      </c>
      <c r="F6" s="13">
        <f>'TLS RA Calculator'!$D$4*0.85</f>
        <v>104.55</v>
      </c>
      <c r="G6" s="13">
        <f>'TLS RA Calculator'!$D$4*0.7</f>
        <v>86.1</v>
      </c>
      <c r="H6" s="13">
        <f>'TLS RA Calculator'!$D$4*0.65</f>
        <v>79.95</v>
      </c>
      <c r="I6" s="13">
        <f>'TLS RA Calculator'!$D$4*0.6</f>
        <v>73.8</v>
      </c>
      <c r="J6" s="13">
        <f>'TLS RA Calculator'!$D$4*0.55</f>
        <v>67.650000000000006</v>
      </c>
      <c r="K6" s="13">
        <f>'TLS RA Calculator'!$D$4*0.55</f>
        <v>67.650000000000006</v>
      </c>
      <c r="L6" s="13">
        <f>'TLS RA Calculator'!$D$4*0.5</f>
        <v>61.5</v>
      </c>
      <c r="M6" s="13">
        <f>'TLS RA Calculator'!$D$4*0.5</f>
        <v>61.5</v>
      </c>
      <c r="N6" s="13">
        <f>'TLS RA Calculator'!$D$4*0.45</f>
        <v>55.35</v>
      </c>
      <c r="O6" s="18">
        <f>'TLS RA Calculator'!$D$4*0.45</f>
        <v>55.35</v>
      </c>
    </row>
    <row r="7" spans="1:15" x14ac:dyDescent="0.25">
      <c r="A7" s="39" t="s">
        <v>8</v>
      </c>
      <c r="B7" s="12">
        <v>26825</v>
      </c>
      <c r="C7" s="40">
        <f>Table16[[#This Row],[Acutely Low Income
(Maximum 15% AMI) - Annual Total]]/12</f>
        <v>2235.4166666666665</v>
      </c>
      <c r="D7" s="17">
        <f>'TLS RA Calculator'!$D$4*1</f>
        <v>123</v>
      </c>
      <c r="E7" s="13">
        <f>'TLS RA Calculator'!$D$4*1</f>
        <v>123</v>
      </c>
      <c r="F7" s="13">
        <f>'TLS RA Calculator'!$D$4*0.85</f>
        <v>104.55</v>
      </c>
      <c r="G7" s="13">
        <f>'TLS RA Calculator'!$D$4*0.7</f>
        <v>86.1</v>
      </c>
      <c r="H7" s="13">
        <f>'TLS RA Calculator'!$D$4*0.65</f>
        <v>79.95</v>
      </c>
      <c r="I7" s="13">
        <f>'TLS RA Calculator'!$D$4*0.6</f>
        <v>73.8</v>
      </c>
      <c r="J7" s="13">
        <f>'TLS RA Calculator'!$D$4*0.55</f>
        <v>67.650000000000006</v>
      </c>
      <c r="K7" s="13">
        <f>'TLS RA Calculator'!$D$4*0.55</f>
        <v>67.650000000000006</v>
      </c>
      <c r="L7" s="13">
        <f>'TLS RA Calculator'!$D$4*0.5</f>
        <v>61.5</v>
      </c>
      <c r="M7" s="13">
        <f>'TLS RA Calculator'!$D$4*0.5</f>
        <v>61.5</v>
      </c>
      <c r="N7" s="13">
        <f>'TLS RA Calculator'!$D$4*0.45</f>
        <v>55.35</v>
      </c>
      <c r="O7" s="18">
        <f>'TLS RA Calculator'!$D$4*0.45</f>
        <v>55.35</v>
      </c>
    </row>
    <row r="8" spans="1:15" x14ac:dyDescent="0.25">
      <c r="A8" s="39" t="s">
        <v>9</v>
      </c>
      <c r="B8" s="12">
        <v>28665</v>
      </c>
      <c r="C8" s="40">
        <f>Table16[[#This Row],[Acutely Low Income
(Maximum 15% AMI) - Annual Total]]/12</f>
        <v>2388.75</v>
      </c>
      <c r="D8" s="17">
        <f>'TLS RA Calculator'!$D$4*1</f>
        <v>123</v>
      </c>
      <c r="E8" s="13">
        <f>'TLS RA Calculator'!$D$4*1</f>
        <v>123</v>
      </c>
      <c r="F8" s="13">
        <f>'TLS RA Calculator'!$D$4*0.85</f>
        <v>104.55</v>
      </c>
      <c r="G8" s="13">
        <f>'TLS RA Calculator'!$D$4*0.7</f>
        <v>86.1</v>
      </c>
      <c r="H8" s="13">
        <f>'TLS RA Calculator'!$D$4*0.65</f>
        <v>79.95</v>
      </c>
      <c r="I8" s="13">
        <f>'TLS RA Calculator'!$D$4*0.6</f>
        <v>73.8</v>
      </c>
      <c r="J8" s="13">
        <f>'TLS RA Calculator'!$D$4*0.55</f>
        <v>67.650000000000006</v>
      </c>
      <c r="K8" s="13">
        <f>'TLS RA Calculator'!$D$4*0.55</f>
        <v>67.650000000000006</v>
      </c>
      <c r="L8" s="13">
        <f>'TLS RA Calculator'!$D$4*0.5</f>
        <v>61.5</v>
      </c>
      <c r="M8" s="13">
        <f>'TLS RA Calculator'!$D$4*0.5</f>
        <v>61.5</v>
      </c>
      <c r="N8" s="13">
        <f>'TLS RA Calculator'!$D$4*0.45</f>
        <v>55.35</v>
      </c>
      <c r="O8" s="18">
        <f>'TLS RA Calculator'!$D$4*0.45</f>
        <v>55.35</v>
      </c>
    </row>
    <row r="9" spans="1:15" ht="16.5" thickBot="1" x14ac:dyDescent="0.3">
      <c r="A9" s="41" t="s">
        <v>10</v>
      </c>
      <c r="B9" s="42">
        <v>30505</v>
      </c>
      <c r="C9" s="43">
        <f>Table16[[#This Row],[Acutely Low Income
(Maximum 15% AMI) - Annual Total]]/12</f>
        <v>2542.0833333333335</v>
      </c>
      <c r="D9" s="19">
        <f>'TLS RA Calculator'!$D$4*1</f>
        <v>123</v>
      </c>
      <c r="E9" s="20">
        <f>'TLS RA Calculator'!$D$4*1</f>
        <v>123</v>
      </c>
      <c r="F9" s="20">
        <f>'TLS RA Calculator'!$D$4*0.85</f>
        <v>104.55</v>
      </c>
      <c r="G9" s="20">
        <f>'TLS RA Calculator'!$D$4*0.7</f>
        <v>86.1</v>
      </c>
      <c r="H9" s="20">
        <f>'TLS RA Calculator'!$D$4*0.65</f>
        <v>79.95</v>
      </c>
      <c r="I9" s="20">
        <f>'TLS RA Calculator'!$D$4*0.6</f>
        <v>73.8</v>
      </c>
      <c r="J9" s="20">
        <f>'TLS RA Calculator'!$D$4*0.55</f>
        <v>67.650000000000006</v>
      </c>
      <c r="K9" s="20">
        <f>'TLS RA Calculator'!$D$4*0.55</f>
        <v>67.650000000000006</v>
      </c>
      <c r="L9" s="20">
        <f>'TLS RA Calculator'!$D$4*0.5</f>
        <v>61.5</v>
      </c>
      <c r="M9" s="20">
        <f>'TLS RA Calculator'!$D$4*0.5</f>
        <v>61.5</v>
      </c>
      <c r="N9" s="20">
        <f>'TLS RA Calculator'!$D$4*0.45</f>
        <v>55.35</v>
      </c>
      <c r="O9" s="21">
        <f>'TLS RA Calculator'!$D$4*0.45</f>
        <v>55.35</v>
      </c>
    </row>
    <row r="10" spans="1:15" ht="16.5" thickBot="1" x14ac:dyDescent="0.3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</row>
    <row r="11" spans="1:15" ht="79.5" thickBot="1" x14ac:dyDescent="0.3">
      <c r="A11" s="67" t="s">
        <v>54</v>
      </c>
      <c r="B11" s="68" t="s">
        <v>55</v>
      </c>
      <c r="C11" s="69" t="s">
        <v>56</v>
      </c>
      <c r="D11" s="70" t="s">
        <v>24</v>
      </c>
      <c r="E11" s="71" t="s">
        <v>25</v>
      </c>
      <c r="F11" s="71" t="s">
        <v>26</v>
      </c>
      <c r="G11" s="71" t="s">
        <v>27</v>
      </c>
      <c r="H11" s="71" t="s">
        <v>28</v>
      </c>
      <c r="I11" s="71" t="s">
        <v>29</v>
      </c>
      <c r="J11" s="71" t="s">
        <v>30</v>
      </c>
      <c r="K11" s="71" t="s">
        <v>31</v>
      </c>
      <c r="L11" s="71" t="s">
        <v>32</v>
      </c>
      <c r="M11" s="71" t="s">
        <v>33</v>
      </c>
      <c r="N11" s="71" t="s">
        <v>34</v>
      </c>
      <c r="O11" s="71" t="s">
        <v>23</v>
      </c>
    </row>
    <row r="12" spans="1:15" x14ac:dyDescent="0.25">
      <c r="A12" s="36" t="s">
        <v>3</v>
      </c>
      <c r="B12" s="37">
        <v>16215</v>
      </c>
      <c r="C12" s="38">
        <f>Table1618[[#This Row],[Acutely Low Income
(Maximum 15% AMI) - Annual Total]]/12</f>
        <v>1351.25</v>
      </c>
      <c r="D12" s="33">
        <f>'TLS RA Calculator'!$D$4*0.4</f>
        <v>49.2</v>
      </c>
      <c r="E12" s="34">
        <f>'TLS RA Calculator'!$D$4*0.4</f>
        <v>49.2</v>
      </c>
      <c r="F12" s="34">
        <f>'TLS RA Calculator'!$D$4*0.35</f>
        <v>43.05</v>
      </c>
      <c r="G12" s="44">
        <f>'TLS RA Calculator'!$D$4*0.35</f>
        <v>43.05</v>
      </c>
      <c r="H12" s="34">
        <f>'TLS RA Calculator'!$D$4*0.3</f>
        <v>36.9</v>
      </c>
      <c r="I12" s="34">
        <f>'TLS RA Calculator'!$D$4*0.3</f>
        <v>36.9</v>
      </c>
      <c r="J12" s="34">
        <f>'TLS RA Calculator'!$D$4*0.25</f>
        <v>30.75</v>
      </c>
      <c r="K12" s="34">
        <f>'TLS RA Calculator'!$D$4*0.25</f>
        <v>30.75</v>
      </c>
      <c r="L12" s="34">
        <f>'TLS RA Calculator'!$D$4*0.2</f>
        <v>24.6</v>
      </c>
      <c r="M12" s="34">
        <f>'TLS RA Calculator'!$D$4*0.2</f>
        <v>24.6</v>
      </c>
      <c r="N12" s="34">
        <f>'TLS RA Calculator'!$D$4*0.15</f>
        <v>18.45</v>
      </c>
      <c r="O12" s="35">
        <f>'TLS RA Calculator'!$D$4*0.1</f>
        <v>12.3</v>
      </c>
    </row>
    <row r="13" spans="1:15" x14ac:dyDescent="0.25">
      <c r="A13" s="39" t="s">
        <v>4</v>
      </c>
      <c r="B13" s="12">
        <v>18525</v>
      </c>
      <c r="C13" s="40">
        <f>Table1618[[#This Row],[Acutely Low Income
(Maximum 15% AMI) - Annual Total]]/12</f>
        <v>1543.75</v>
      </c>
      <c r="D13" s="17">
        <f>'TLS RA Calculator'!$D$4*0.4</f>
        <v>49.2</v>
      </c>
      <c r="E13" s="13">
        <f>'TLS RA Calculator'!$D$4*0.4</f>
        <v>49.2</v>
      </c>
      <c r="F13" s="13">
        <f>'TLS RA Calculator'!$D$4*0.35</f>
        <v>43.05</v>
      </c>
      <c r="G13" s="14">
        <f>'TLS RA Calculator'!$D$4*0.35</f>
        <v>43.05</v>
      </c>
      <c r="H13" s="13">
        <f>'TLS RA Calculator'!$D$4*0.3</f>
        <v>36.9</v>
      </c>
      <c r="I13" s="13">
        <f>'TLS RA Calculator'!$D$4*0.3</f>
        <v>36.9</v>
      </c>
      <c r="J13" s="13">
        <f>'TLS RA Calculator'!$D$4*0.25</f>
        <v>30.75</v>
      </c>
      <c r="K13" s="13">
        <f>'TLS RA Calculator'!$D$4*0.25</f>
        <v>30.75</v>
      </c>
      <c r="L13" s="13">
        <f>'TLS RA Calculator'!$D$4*0.2</f>
        <v>24.6</v>
      </c>
      <c r="M13" s="13">
        <f>'TLS RA Calculator'!$D$4*0.2</f>
        <v>24.6</v>
      </c>
      <c r="N13" s="13">
        <f>'TLS RA Calculator'!$D$4*0.15</f>
        <v>18.45</v>
      </c>
      <c r="O13" s="18">
        <f>'TLS RA Calculator'!$D$4*0.1</f>
        <v>12.3</v>
      </c>
    </row>
    <row r="14" spans="1:15" x14ac:dyDescent="0.25">
      <c r="A14" s="39" t="s">
        <v>6</v>
      </c>
      <c r="B14" s="12">
        <v>20835</v>
      </c>
      <c r="C14" s="40">
        <f>Table1618[[#This Row],[Acutely Low Income
(Maximum 15% AMI) - Annual Total]]/12</f>
        <v>1736.25</v>
      </c>
      <c r="D14" s="17">
        <f>'TLS RA Calculator'!$D$4*0.4</f>
        <v>49.2</v>
      </c>
      <c r="E14" s="13">
        <f>'TLS RA Calculator'!$D$4*0.4</f>
        <v>49.2</v>
      </c>
      <c r="F14" s="13">
        <f>'TLS RA Calculator'!$D$4*0.35</f>
        <v>43.05</v>
      </c>
      <c r="G14" s="14">
        <f>'TLS RA Calculator'!$D$4*0.35</f>
        <v>43.05</v>
      </c>
      <c r="H14" s="13">
        <f>'TLS RA Calculator'!$D$4*0.3</f>
        <v>36.9</v>
      </c>
      <c r="I14" s="13">
        <f>'TLS RA Calculator'!$D$4*0.3</f>
        <v>36.9</v>
      </c>
      <c r="J14" s="13">
        <f>'TLS RA Calculator'!$D$4*0.25</f>
        <v>30.75</v>
      </c>
      <c r="K14" s="13">
        <f>'TLS RA Calculator'!$D$4*0.25</f>
        <v>30.75</v>
      </c>
      <c r="L14" s="13">
        <f>'TLS RA Calculator'!$D$4*0.2</f>
        <v>24.6</v>
      </c>
      <c r="M14" s="13">
        <f>'TLS RA Calculator'!$D$4*0.2</f>
        <v>24.6</v>
      </c>
      <c r="N14" s="13">
        <f>'TLS RA Calculator'!$D$4*0.15</f>
        <v>18.45</v>
      </c>
      <c r="O14" s="18">
        <f>'TLS RA Calculator'!$D$4*0.1</f>
        <v>12.3</v>
      </c>
    </row>
    <row r="15" spans="1:15" x14ac:dyDescent="0.25">
      <c r="A15" s="39" t="s">
        <v>5</v>
      </c>
      <c r="B15" s="12">
        <v>23145</v>
      </c>
      <c r="C15" s="40">
        <f>Table1618[[#This Row],[Acutely Low Income
(Maximum 15% AMI) - Annual Total]]/12</f>
        <v>1928.75</v>
      </c>
      <c r="D15" s="17">
        <f>'TLS RA Calculator'!$D$4*0.4</f>
        <v>49.2</v>
      </c>
      <c r="E15" s="13">
        <f>'TLS RA Calculator'!$D$4*0.4</f>
        <v>49.2</v>
      </c>
      <c r="F15" s="13">
        <f>'TLS RA Calculator'!$D$4*0.35</f>
        <v>43.05</v>
      </c>
      <c r="G15" s="14">
        <f>'TLS RA Calculator'!$D$4*0.35</f>
        <v>43.05</v>
      </c>
      <c r="H15" s="13">
        <f>'TLS RA Calculator'!$D$4*0.3</f>
        <v>36.9</v>
      </c>
      <c r="I15" s="13">
        <f>'TLS RA Calculator'!$D$4*0.3</f>
        <v>36.9</v>
      </c>
      <c r="J15" s="13">
        <f>'TLS RA Calculator'!$D$4*0.25</f>
        <v>30.75</v>
      </c>
      <c r="K15" s="13">
        <f>'TLS RA Calculator'!$D$4*0.25</f>
        <v>30.75</v>
      </c>
      <c r="L15" s="13">
        <f>'TLS RA Calculator'!$D$4*0.2</f>
        <v>24.6</v>
      </c>
      <c r="M15" s="13">
        <f>'TLS RA Calculator'!$D$4*0.2</f>
        <v>24.6</v>
      </c>
      <c r="N15" s="13">
        <f>'TLS RA Calculator'!$D$4*0.15</f>
        <v>18.45</v>
      </c>
      <c r="O15" s="18">
        <f>'TLS RA Calculator'!$D$4*0.1</f>
        <v>12.3</v>
      </c>
    </row>
    <row r="16" spans="1:15" x14ac:dyDescent="0.25">
      <c r="A16" s="39" t="s">
        <v>7</v>
      </c>
      <c r="B16" s="12">
        <v>24985</v>
      </c>
      <c r="C16" s="40">
        <f>Table1618[[#This Row],[Acutely Low Income
(Maximum 15% AMI) - Annual Total]]/12</f>
        <v>2082.0833333333335</v>
      </c>
      <c r="D16" s="17">
        <f>'TLS RA Calculator'!$D$4*0.4</f>
        <v>49.2</v>
      </c>
      <c r="E16" s="13">
        <f>'TLS RA Calculator'!$D$4*0.4</f>
        <v>49.2</v>
      </c>
      <c r="F16" s="13">
        <f>'TLS RA Calculator'!$D$4*0.35</f>
        <v>43.05</v>
      </c>
      <c r="G16" s="14">
        <f>'TLS RA Calculator'!$D$4*0.35</f>
        <v>43.05</v>
      </c>
      <c r="H16" s="13">
        <f>'TLS RA Calculator'!$D$4*0.3</f>
        <v>36.9</v>
      </c>
      <c r="I16" s="13">
        <f>'TLS RA Calculator'!$D$4*0.3</f>
        <v>36.9</v>
      </c>
      <c r="J16" s="13">
        <f>'TLS RA Calculator'!$D$4*0.25</f>
        <v>30.75</v>
      </c>
      <c r="K16" s="13">
        <f>'TLS RA Calculator'!$D$4*0.25</f>
        <v>30.75</v>
      </c>
      <c r="L16" s="13">
        <f>'TLS RA Calculator'!$D$4*0.2</f>
        <v>24.6</v>
      </c>
      <c r="M16" s="13">
        <f>'TLS RA Calculator'!$D$4*0.2</f>
        <v>24.6</v>
      </c>
      <c r="N16" s="13">
        <f>'TLS RA Calculator'!$D$4*0.15</f>
        <v>18.45</v>
      </c>
      <c r="O16" s="18">
        <f>'TLS RA Calculator'!$D$4*0.1</f>
        <v>12.3</v>
      </c>
    </row>
    <row r="17" spans="1:15" x14ac:dyDescent="0.25">
      <c r="A17" s="39" t="s">
        <v>8</v>
      </c>
      <c r="B17" s="12">
        <v>26825</v>
      </c>
      <c r="C17" s="40">
        <f>Table1618[[#This Row],[Acutely Low Income
(Maximum 15% AMI) - Annual Total]]/12</f>
        <v>2235.4166666666665</v>
      </c>
      <c r="D17" s="17">
        <f>'TLS RA Calculator'!$D$4*0.4</f>
        <v>49.2</v>
      </c>
      <c r="E17" s="13">
        <f>'TLS RA Calculator'!$D$4*0.4</f>
        <v>49.2</v>
      </c>
      <c r="F17" s="13">
        <f>'TLS RA Calculator'!$D$4*0.35</f>
        <v>43.05</v>
      </c>
      <c r="G17" s="14">
        <f>'TLS RA Calculator'!$D$4*0.35</f>
        <v>43.05</v>
      </c>
      <c r="H17" s="13">
        <f>'TLS RA Calculator'!$D$4*0.3</f>
        <v>36.9</v>
      </c>
      <c r="I17" s="13">
        <f>'TLS RA Calculator'!$D$4*0.3</f>
        <v>36.9</v>
      </c>
      <c r="J17" s="13">
        <f>'TLS RA Calculator'!$D$4*0.25</f>
        <v>30.75</v>
      </c>
      <c r="K17" s="13">
        <f>'TLS RA Calculator'!$D$4*0.25</f>
        <v>30.75</v>
      </c>
      <c r="L17" s="13">
        <f>'TLS RA Calculator'!$D$4*0.2</f>
        <v>24.6</v>
      </c>
      <c r="M17" s="13">
        <f>'TLS RA Calculator'!$D$4*0.2</f>
        <v>24.6</v>
      </c>
      <c r="N17" s="13">
        <f>'TLS RA Calculator'!$D$4*0.15</f>
        <v>18.45</v>
      </c>
      <c r="O17" s="18">
        <f>'TLS RA Calculator'!$D$4*0.1</f>
        <v>12.3</v>
      </c>
    </row>
    <row r="18" spans="1:15" x14ac:dyDescent="0.25">
      <c r="A18" s="39" t="s">
        <v>9</v>
      </c>
      <c r="B18" s="12">
        <v>28665</v>
      </c>
      <c r="C18" s="40">
        <f>Table1618[[#This Row],[Acutely Low Income
(Maximum 15% AMI) - Annual Total]]/12</f>
        <v>2388.75</v>
      </c>
      <c r="D18" s="17">
        <f>'TLS RA Calculator'!$D$4*0.4</f>
        <v>49.2</v>
      </c>
      <c r="E18" s="13">
        <f>'TLS RA Calculator'!$D$4*0.4</f>
        <v>49.2</v>
      </c>
      <c r="F18" s="13">
        <f>'TLS RA Calculator'!$D$4*0.35</f>
        <v>43.05</v>
      </c>
      <c r="G18" s="14">
        <f>'TLS RA Calculator'!$D$4*0.35</f>
        <v>43.05</v>
      </c>
      <c r="H18" s="13">
        <f>'TLS RA Calculator'!$D$4*0.3</f>
        <v>36.9</v>
      </c>
      <c r="I18" s="13">
        <f>'TLS RA Calculator'!$D$4*0.3</f>
        <v>36.9</v>
      </c>
      <c r="J18" s="13">
        <f>'TLS RA Calculator'!$D$4*0.25</f>
        <v>30.75</v>
      </c>
      <c r="K18" s="13">
        <f>'TLS RA Calculator'!$D$4*0.25</f>
        <v>30.75</v>
      </c>
      <c r="L18" s="13">
        <f>'TLS RA Calculator'!$D$4*0.2</f>
        <v>24.6</v>
      </c>
      <c r="M18" s="13">
        <f>'TLS RA Calculator'!$D$4*0.2</f>
        <v>24.6</v>
      </c>
      <c r="N18" s="13">
        <f>'TLS RA Calculator'!$D$4*0.15</f>
        <v>18.45</v>
      </c>
      <c r="O18" s="18">
        <f>'TLS RA Calculator'!$D$4*0.1</f>
        <v>12.3</v>
      </c>
    </row>
    <row r="19" spans="1:15" ht="16.5" thickBot="1" x14ac:dyDescent="0.3">
      <c r="A19" s="41" t="s">
        <v>10</v>
      </c>
      <c r="B19" s="42">
        <v>30505</v>
      </c>
      <c r="C19" s="43">
        <f>Table1618[[#This Row],[Acutely Low Income
(Maximum 15% AMI) - Annual Total]]/12</f>
        <v>2542.0833333333335</v>
      </c>
      <c r="D19" s="19">
        <f>'TLS RA Calculator'!$D$4*0.4</f>
        <v>49.2</v>
      </c>
      <c r="E19" s="20">
        <f>'TLS RA Calculator'!$D$4*0.4</f>
        <v>49.2</v>
      </c>
      <c r="F19" s="20">
        <f>'TLS RA Calculator'!$D$4*0.35</f>
        <v>43.05</v>
      </c>
      <c r="G19" s="45">
        <f>'TLS RA Calculator'!$D$4*0.35</f>
        <v>43.05</v>
      </c>
      <c r="H19" s="20">
        <f>'TLS RA Calculator'!$D$4*0.3</f>
        <v>36.9</v>
      </c>
      <c r="I19" s="20">
        <f>'TLS RA Calculator'!$D$4*0.3</f>
        <v>36.9</v>
      </c>
      <c r="J19" s="20">
        <f>'TLS RA Calculator'!$D$4*0.25</f>
        <v>30.75</v>
      </c>
      <c r="K19" s="20">
        <f>'TLS RA Calculator'!$D$4*0.25</f>
        <v>30.75</v>
      </c>
      <c r="L19" s="20">
        <f>'TLS RA Calculator'!$D$4*0.2</f>
        <v>24.6</v>
      </c>
      <c r="M19" s="20">
        <f>'TLS RA Calculator'!$D$4*0.2</f>
        <v>24.6</v>
      </c>
      <c r="N19" s="20">
        <f>'TLS RA Calculator'!$D$4*0.15</f>
        <v>18.45</v>
      </c>
      <c r="O19" s="21">
        <f>'TLS RA Calculator'!$D$4*0.1</f>
        <v>12.3</v>
      </c>
    </row>
  </sheetData>
  <sheetProtection algorithmName="SHA-512" hashValue="dg1IrGK71Jo7WElHaKcP4CCbh47IPI4cgMLXZeUL2uS4wqokxF87RRG/oFqSuIlItUQOxYHwJe7tDAmxZJEHXQ==" saltValue="NYI09Z0FTOu3oEUiVaZang==" spinCount="100000" sheet="1" objects="1" scenarios="1" selectLockedCells="1" selectUnlockedCells="1"/>
  <phoneticPr fontId="6" type="noConversion"/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2048E-B97D-401F-969B-489544F706FD}">
  <dimension ref="A1:O19"/>
  <sheetViews>
    <sheetView workbookViewId="0">
      <selection activeCell="E59" sqref="E59"/>
    </sheetView>
  </sheetViews>
  <sheetFormatPr defaultColWidth="15.5" defaultRowHeight="15.75" x14ac:dyDescent="0.25"/>
  <sheetData>
    <row r="1" spans="1:15" ht="79.5" thickBot="1" x14ac:dyDescent="0.3">
      <c r="A1" s="75" t="s">
        <v>52</v>
      </c>
      <c r="B1" s="76" t="s">
        <v>57</v>
      </c>
      <c r="C1" s="77" t="s">
        <v>58</v>
      </c>
      <c r="D1" s="78" t="s">
        <v>11</v>
      </c>
      <c r="E1" s="76" t="s">
        <v>12</v>
      </c>
      <c r="F1" s="76" t="s">
        <v>13</v>
      </c>
      <c r="G1" s="76" t="s">
        <v>14</v>
      </c>
      <c r="H1" s="76" t="s">
        <v>15</v>
      </c>
      <c r="I1" s="76" t="s">
        <v>16</v>
      </c>
      <c r="J1" s="76" t="s">
        <v>17</v>
      </c>
      <c r="K1" s="76" t="s">
        <v>18</v>
      </c>
      <c r="L1" s="76" t="s">
        <v>19</v>
      </c>
      <c r="M1" s="76" t="s">
        <v>20</v>
      </c>
      <c r="N1" s="76" t="s">
        <v>21</v>
      </c>
      <c r="O1" s="79" t="s">
        <v>22</v>
      </c>
    </row>
    <row r="2" spans="1:15" x14ac:dyDescent="0.25">
      <c r="A2" s="48" t="s">
        <v>3</v>
      </c>
      <c r="B2" s="46">
        <v>32430</v>
      </c>
      <c r="C2" s="35">
        <f>Table14[[#This Row],[Extremely Low Income
(Maximum 30% AMI) - Annual Limit]]/12</f>
        <v>2702.5</v>
      </c>
      <c r="D2" s="33">
        <f>'TLS RA Calculator'!$D$4*1</f>
        <v>123</v>
      </c>
      <c r="E2" s="34">
        <f>'TLS RA Calculator'!$D$4*0.85</f>
        <v>104.55</v>
      </c>
      <c r="F2" s="34">
        <f>'TLS RA Calculator'!$D$4*0.7</f>
        <v>86.1</v>
      </c>
      <c r="G2" s="34">
        <f>'TLS RA Calculator'!$D$4*0.65</f>
        <v>79.95</v>
      </c>
      <c r="H2" s="34">
        <f>'TLS RA Calculator'!$D$4*0.6</f>
        <v>73.8</v>
      </c>
      <c r="I2" s="34">
        <f>'TLS RA Calculator'!$D$4*0.6</f>
        <v>73.8</v>
      </c>
      <c r="J2" s="34">
        <f>'TLS RA Calculator'!$D$4*0.55</f>
        <v>67.650000000000006</v>
      </c>
      <c r="K2" s="34">
        <f>'TLS RA Calculator'!$D$4*0.55</f>
        <v>67.650000000000006</v>
      </c>
      <c r="L2" s="34">
        <f>'TLS RA Calculator'!$D$4*0.5</f>
        <v>61.5</v>
      </c>
      <c r="M2" s="34">
        <f>'TLS RA Calculator'!$D$4*0.5</f>
        <v>61.5</v>
      </c>
      <c r="N2" s="34">
        <f>'TLS RA Calculator'!$D$4*0.45</f>
        <v>55.35</v>
      </c>
      <c r="O2" s="56">
        <f>'TLS RA Calculator'!$D$4*0.45</f>
        <v>55.35</v>
      </c>
    </row>
    <row r="3" spans="1:15" x14ac:dyDescent="0.25">
      <c r="A3" s="49" t="s">
        <v>4</v>
      </c>
      <c r="B3" s="15">
        <v>37050</v>
      </c>
      <c r="C3" s="18">
        <f>Table14[[#This Row],[Extremely Low Income
(Maximum 30% AMI) - Annual Limit]]/12</f>
        <v>3087.5</v>
      </c>
      <c r="D3" s="17">
        <f>'TLS RA Calculator'!$D$4*1</f>
        <v>123</v>
      </c>
      <c r="E3" s="13">
        <f>'TLS RA Calculator'!$D$4*0.85</f>
        <v>104.55</v>
      </c>
      <c r="F3" s="13">
        <f>'TLS RA Calculator'!$D$4*0.7</f>
        <v>86.1</v>
      </c>
      <c r="G3" s="13">
        <f>'TLS RA Calculator'!$D$4*0.65</f>
        <v>79.95</v>
      </c>
      <c r="H3" s="13">
        <f>'TLS RA Calculator'!$D$4*0.6</f>
        <v>73.8</v>
      </c>
      <c r="I3" s="13">
        <f>'TLS RA Calculator'!$D$4*0.6</f>
        <v>73.8</v>
      </c>
      <c r="J3" s="13">
        <f>'TLS RA Calculator'!$D$4*0.55</f>
        <v>67.650000000000006</v>
      </c>
      <c r="K3" s="13">
        <f>'TLS RA Calculator'!$D$4*0.55</f>
        <v>67.650000000000006</v>
      </c>
      <c r="L3" s="13">
        <f>'TLS RA Calculator'!$D$4*0.5</f>
        <v>61.5</v>
      </c>
      <c r="M3" s="13">
        <f>'TLS RA Calculator'!$D$4*0.5</f>
        <v>61.5</v>
      </c>
      <c r="N3" s="13">
        <f>'TLS RA Calculator'!$D$4*0.45</f>
        <v>55.35</v>
      </c>
      <c r="O3" s="16">
        <f>'TLS RA Calculator'!$D$4*0.45</f>
        <v>55.35</v>
      </c>
    </row>
    <row r="4" spans="1:15" x14ac:dyDescent="0.25">
      <c r="A4" s="49" t="s">
        <v>6</v>
      </c>
      <c r="B4" s="15">
        <v>41570</v>
      </c>
      <c r="C4" s="18">
        <f>Table14[[#This Row],[Extremely Low Income
(Maximum 30% AMI) - Annual Limit]]/12</f>
        <v>3464.1666666666665</v>
      </c>
      <c r="D4" s="17">
        <f>'TLS RA Calculator'!$D$4*1</f>
        <v>123</v>
      </c>
      <c r="E4" s="13">
        <f>'TLS RA Calculator'!$D$4*0.85</f>
        <v>104.55</v>
      </c>
      <c r="F4" s="13">
        <f>'TLS RA Calculator'!$D$4*0.7</f>
        <v>86.1</v>
      </c>
      <c r="G4" s="13">
        <f>'TLS RA Calculator'!$D$4*0.65</f>
        <v>79.95</v>
      </c>
      <c r="H4" s="13">
        <f>'TLS RA Calculator'!$D$4*0.6</f>
        <v>73.8</v>
      </c>
      <c r="I4" s="13">
        <f>'TLS RA Calculator'!$D$4*0.6</f>
        <v>73.8</v>
      </c>
      <c r="J4" s="13">
        <f>'TLS RA Calculator'!$D$4*0.55</f>
        <v>67.650000000000006</v>
      </c>
      <c r="K4" s="13">
        <f>'TLS RA Calculator'!$D$4*0.55</f>
        <v>67.650000000000006</v>
      </c>
      <c r="L4" s="13">
        <f>'TLS RA Calculator'!$D$4*0.5</f>
        <v>61.5</v>
      </c>
      <c r="M4" s="13">
        <f>'TLS RA Calculator'!$D$4*0.5</f>
        <v>61.5</v>
      </c>
      <c r="N4" s="13">
        <f>'TLS RA Calculator'!$D$4*0.45</f>
        <v>55.35</v>
      </c>
      <c r="O4" s="16">
        <f>'TLS RA Calculator'!$D$4*0.45</f>
        <v>55.35</v>
      </c>
    </row>
    <row r="5" spans="1:15" x14ac:dyDescent="0.25">
      <c r="A5" s="49" t="s">
        <v>5</v>
      </c>
      <c r="B5" s="15">
        <v>46090</v>
      </c>
      <c r="C5" s="18">
        <f>Table14[[#This Row],[Extremely Low Income
(Maximum 30% AMI) - Annual Limit]]/12</f>
        <v>3840.8333333333335</v>
      </c>
      <c r="D5" s="17">
        <f>'TLS RA Calculator'!$D$4*1</f>
        <v>123</v>
      </c>
      <c r="E5" s="13">
        <f>'TLS RA Calculator'!$D$4*0.85</f>
        <v>104.55</v>
      </c>
      <c r="F5" s="13">
        <f>'TLS RA Calculator'!$D$4*0.7</f>
        <v>86.1</v>
      </c>
      <c r="G5" s="13">
        <f>'TLS RA Calculator'!$D$4*0.65</f>
        <v>79.95</v>
      </c>
      <c r="H5" s="13">
        <f>'TLS RA Calculator'!$D$4*0.6</f>
        <v>73.8</v>
      </c>
      <c r="I5" s="13">
        <f>'TLS RA Calculator'!$D$4*0.6</f>
        <v>73.8</v>
      </c>
      <c r="J5" s="13">
        <f>'TLS RA Calculator'!$D$4*0.55</f>
        <v>67.650000000000006</v>
      </c>
      <c r="K5" s="13">
        <f>'TLS RA Calculator'!$D$4*0.55</f>
        <v>67.650000000000006</v>
      </c>
      <c r="L5" s="13">
        <f>'TLS RA Calculator'!$D$4*0.5</f>
        <v>61.5</v>
      </c>
      <c r="M5" s="13">
        <f>'TLS RA Calculator'!$D$4*0.5</f>
        <v>61.5</v>
      </c>
      <c r="N5" s="13">
        <f>'TLS RA Calculator'!$D$4*0.45</f>
        <v>55.35</v>
      </c>
      <c r="O5" s="16">
        <f>'TLS RA Calculator'!$D$4*0.45</f>
        <v>55.35</v>
      </c>
    </row>
    <row r="6" spans="1:15" x14ac:dyDescent="0.25">
      <c r="A6" s="49" t="s">
        <v>7</v>
      </c>
      <c r="B6" s="15">
        <v>49970</v>
      </c>
      <c r="C6" s="18">
        <f>Table14[[#This Row],[Extremely Low Income
(Maximum 30% AMI) - Annual Limit]]/12</f>
        <v>4164.166666666667</v>
      </c>
      <c r="D6" s="17">
        <f>'TLS RA Calculator'!$D$4*1</f>
        <v>123</v>
      </c>
      <c r="E6" s="13">
        <f>'TLS RA Calculator'!$D$4*0.85</f>
        <v>104.55</v>
      </c>
      <c r="F6" s="13">
        <f>'TLS RA Calculator'!$D$4*0.7</f>
        <v>86.1</v>
      </c>
      <c r="G6" s="13">
        <f>'TLS RA Calculator'!$D$4*0.65</f>
        <v>79.95</v>
      </c>
      <c r="H6" s="13">
        <f>'TLS RA Calculator'!$D$4*0.6</f>
        <v>73.8</v>
      </c>
      <c r="I6" s="13">
        <f>'TLS RA Calculator'!$D$4*0.6</f>
        <v>73.8</v>
      </c>
      <c r="J6" s="13">
        <f>'TLS RA Calculator'!$D$4*0.55</f>
        <v>67.650000000000006</v>
      </c>
      <c r="K6" s="13">
        <f>'TLS RA Calculator'!$D$4*0.55</f>
        <v>67.650000000000006</v>
      </c>
      <c r="L6" s="13">
        <f>'TLS RA Calculator'!$D$4*0.5</f>
        <v>61.5</v>
      </c>
      <c r="M6" s="13">
        <f>'TLS RA Calculator'!$D$4*0.5</f>
        <v>61.5</v>
      </c>
      <c r="N6" s="13">
        <f>'TLS RA Calculator'!$D$4*0.45</f>
        <v>55.35</v>
      </c>
      <c r="O6" s="16">
        <f>'TLS RA Calculator'!$D$4*0.45</f>
        <v>55.35</v>
      </c>
    </row>
    <row r="7" spans="1:15" x14ac:dyDescent="0.25">
      <c r="A7" s="49" t="s">
        <v>8</v>
      </c>
      <c r="B7" s="15">
        <v>53650</v>
      </c>
      <c r="C7" s="18">
        <f>Table14[[#This Row],[Extremely Low Income
(Maximum 30% AMI) - Annual Limit]]/12</f>
        <v>4470.833333333333</v>
      </c>
      <c r="D7" s="17">
        <f>'TLS RA Calculator'!$D$4*1</f>
        <v>123</v>
      </c>
      <c r="E7" s="13">
        <f>'TLS RA Calculator'!$D$4*0.85</f>
        <v>104.55</v>
      </c>
      <c r="F7" s="13">
        <f>'TLS RA Calculator'!$D$4*0.7</f>
        <v>86.1</v>
      </c>
      <c r="G7" s="13">
        <f>'TLS RA Calculator'!$D$4*0.65</f>
        <v>79.95</v>
      </c>
      <c r="H7" s="13">
        <f>'TLS RA Calculator'!$D$4*0.6</f>
        <v>73.8</v>
      </c>
      <c r="I7" s="13">
        <f>'TLS RA Calculator'!$D$4*0.6</f>
        <v>73.8</v>
      </c>
      <c r="J7" s="13">
        <f>'TLS RA Calculator'!$D$4*0.55</f>
        <v>67.650000000000006</v>
      </c>
      <c r="K7" s="13">
        <f>'TLS RA Calculator'!$D$4*0.55</f>
        <v>67.650000000000006</v>
      </c>
      <c r="L7" s="13">
        <f>'TLS RA Calculator'!$D$4*0.5</f>
        <v>61.5</v>
      </c>
      <c r="M7" s="13">
        <f>'TLS RA Calculator'!$D$4*0.5</f>
        <v>61.5</v>
      </c>
      <c r="N7" s="13">
        <f>'TLS RA Calculator'!$D$4*0.45</f>
        <v>55.35</v>
      </c>
      <c r="O7" s="16">
        <f>'TLS RA Calculator'!$D$4*0.45</f>
        <v>55.35</v>
      </c>
    </row>
    <row r="8" spans="1:15" x14ac:dyDescent="0.25">
      <c r="A8" s="49" t="s">
        <v>9</v>
      </c>
      <c r="B8" s="15">
        <v>57330</v>
      </c>
      <c r="C8" s="18">
        <f>Table14[[#This Row],[Extremely Low Income
(Maximum 30% AMI) - Annual Limit]]/12</f>
        <v>4777.5</v>
      </c>
      <c r="D8" s="17">
        <f>'TLS RA Calculator'!$D$4*1</f>
        <v>123</v>
      </c>
      <c r="E8" s="13">
        <f>'TLS RA Calculator'!$D$4*0.85</f>
        <v>104.55</v>
      </c>
      <c r="F8" s="13">
        <f>'TLS RA Calculator'!$D$4*0.7</f>
        <v>86.1</v>
      </c>
      <c r="G8" s="13">
        <f>'TLS RA Calculator'!$D$4*0.65</f>
        <v>79.95</v>
      </c>
      <c r="H8" s="13">
        <f>'TLS RA Calculator'!$D$4*0.6</f>
        <v>73.8</v>
      </c>
      <c r="I8" s="13">
        <f>'TLS RA Calculator'!$D$4*0.6</f>
        <v>73.8</v>
      </c>
      <c r="J8" s="13">
        <f>'TLS RA Calculator'!$D$4*0.55</f>
        <v>67.650000000000006</v>
      </c>
      <c r="K8" s="13">
        <f>'TLS RA Calculator'!$D$4*0.55</f>
        <v>67.650000000000006</v>
      </c>
      <c r="L8" s="13">
        <f>'TLS RA Calculator'!$D$4*0.5</f>
        <v>61.5</v>
      </c>
      <c r="M8" s="13">
        <f>'TLS RA Calculator'!$D$4*0.5</f>
        <v>61.5</v>
      </c>
      <c r="N8" s="13">
        <f>'TLS RA Calculator'!$D$4*0.45</f>
        <v>55.35</v>
      </c>
      <c r="O8" s="16">
        <f>'TLS RA Calculator'!$D$4*0.45</f>
        <v>55.35</v>
      </c>
    </row>
    <row r="9" spans="1:15" x14ac:dyDescent="0.25">
      <c r="A9" s="50" t="s">
        <v>10</v>
      </c>
      <c r="B9" s="51">
        <v>61010</v>
      </c>
      <c r="C9" s="52">
        <f>Table14[[#This Row],[Extremely Low Income
(Maximum 30% AMI) - Annual Limit]]/12</f>
        <v>5084.166666666667</v>
      </c>
      <c r="D9" s="53">
        <f>'TLS RA Calculator'!$D$4*1</f>
        <v>123</v>
      </c>
      <c r="E9" s="54">
        <f>'TLS RA Calculator'!$D$4*0.85</f>
        <v>104.55</v>
      </c>
      <c r="F9" s="54">
        <f>'TLS RA Calculator'!$D$4*0.7</f>
        <v>86.1</v>
      </c>
      <c r="G9" s="54">
        <f>'TLS RA Calculator'!$D$4*0.65</f>
        <v>79.95</v>
      </c>
      <c r="H9" s="54">
        <f>'TLS RA Calculator'!$D$4*0.6</f>
        <v>73.8</v>
      </c>
      <c r="I9" s="54">
        <f>'TLS RA Calculator'!$D$4*0.6</f>
        <v>73.8</v>
      </c>
      <c r="J9" s="54">
        <f>'TLS RA Calculator'!$D$4*0.55</f>
        <v>67.650000000000006</v>
      </c>
      <c r="K9" s="54">
        <f>'TLS RA Calculator'!$D$4*0.55</f>
        <v>67.650000000000006</v>
      </c>
      <c r="L9" s="54">
        <f>'TLS RA Calculator'!$D$4*0.5</f>
        <v>61.5</v>
      </c>
      <c r="M9" s="54">
        <f>'TLS RA Calculator'!$D$4*0.5</f>
        <v>61.5</v>
      </c>
      <c r="N9" s="54">
        <f>'TLS RA Calculator'!$D$4*0.45</f>
        <v>55.35</v>
      </c>
      <c r="O9" s="55">
        <f>'TLS RA Calculator'!$D$4*0.45</f>
        <v>55.35</v>
      </c>
    </row>
    <row r="10" spans="1:15" ht="16.5" thickBot="1" x14ac:dyDescent="0.3"/>
    <row r="11" spans="1:15" ht="79.5" thickBot="1" x14ac:dyDescent="0.3">
      <c r="A11" s="72" t="s">
        <v>53</v>
      </c>
      <c r="B11" s="76" t="s">
        <v>57</v>
      </c>
      <c r="C11" s="77" t="s">
        <v>58</v>
      </c>
      <c r="D11" s="73" t="s">
        <v>24</v>
      </c>
      <c r="E11" s="74" t="s">
        <v>25</v>
      </c>
      <c r="F11" s="74" t="s">
        <v>26</v>
      </c>
      <c r="G11" s="74" t="s">
        <v>27</v>
      </c>
      <c r="H11" s="74" t="s">
        <v>28</v>
      </c>
      <c r="I11" s="74" t="s">
        <v>29</v>
      </c>
    </row>
    <row r="12" spans="1:15" x14ac:dyDescent="0.25">
      <c r="A12" s="36" t="s">
        <v>3</v>
      </c>
      <c r="B12" s="46">
        <v>32430</v>
      </c>
      <c r="C12" s="35">
        <f>Table1419[[#This Row],[Extremely Low Income
(Maximum 30% AMI) - Annual Limit]]/12</f>
        <v>2702.5</v>
      </c>
      <c r="D12" s="33">
        <f>'TLS RA Calculator'!$D$4*0.4</f>
        <v>49.2</v>
      </c>
      <c r="E12" s="34">
        <f>'TLS RA Calculator'!$D$4*0.3</f>
        <v>36.9</v>
      </c>
      <c r="F12" s="34">
        <f>'TLS RA Calculator'!$D$4*0.25</f>
        <v>30.75</v>
      </c>
      <c r="G12" s="34">
        <f>'TLS RA Calculator'!$D$4*0.2</f>
        <v>24.6</v>
      </c>
      <c r="H12" s="34">
        <f>'TLS RA Calculator'!$D$4*0.1</f>
        <v>12.3</v>
      </c>
      <c r="I12" s="35">
        <f>'TLS RA Calculator'!$D$4*0.1</f>
        <v>12.3</v>
      </c>
    </row>
    <row r="13" spans="1:15" x14ac:dyDescent="0.25">
      <c r="A13" s="39" t="s">
        <v>4</v>
      </c>
      <c r="B13" s="15">
        <v>37050</v>
      </c>
      <c r="C13" s="18">
        <f>Table1419[[#This Row],[Extremely Low Income
(Maximum 30% AMI) - Annual Limit]]/12</f>
        <v>3087.5</v>
      </c>
      <c r="D13" s="17">
        <f>'TLS RA Calculator'!$D$4*0.4</f>
        <v>49.2</v>
      </c>
      <c r="E13" s="13">
        <f>'TLS RA Calculator'!$D$4*0.3</f>
        <v>36.9</v>
      </c>
      <c r="F13" s="13">
        <f>'TLS RA Calculator'!$D$4*0.25</f>
        <v>30.75</v>
      </c>
      <c r="G13" s="13">
        <f>'TLS RA Calculator'!$D$4*0.2</f>
        <v>24.6</v>
      </c>
      <c r="H13" s="13">
        <f>'TLS RA Calculator'!$D$4*0.1</f>
        <v>12.3</v>
      </c>
      <c r="I13" s="18">
        <f>'TLS RA Calculator'!$D$4*0.1</f>
        <v>12.3</v>
      </c>
    </row>
    <row r="14" spans="1:15" x14ac:dyDescent="0.25">
      <c r="A14" s="39" t="s">
        <v>6</v>
      </c>
      <c r="B14" s="15">
        <v>41570</v>
      </c>
      <c r="C14" s="18">
        <f>Table1419[[#This Row],[Extremely Low Income
(Maximum 30% AMI) - Annual Limit]]/12</f>
        <v>3464.1666666666665</v>
      </c>
      <c r="D14" s="17">
        <f>'TLS RA Calculator'!$D$4*0.4</f>
        <v>49.2</v>
      </c>
      <c r="E14" s="13">
        <f>'TLS RA Calculator'!$D$4*0.3</f>
        <v>36.9</v>
      </c>
      <c r="F14" s="13">
        <f>'TLS RA Calculator'!$D$4*0.25</f>
        <v>30.75</v>
      </c>
      <c r="G14" s="13">
        <f>'TLS RA Calculator'!$D$4*0.2</f>
        <v>24.6</v>
      </c>
      <c r="H14" s="13">
        <f>'TLS RA Calculator'!$D$4*0.1</f>
        <v>12.3</v>
      </c>
      <c r="I14" s="18">
        <f>'TLS RA Calculator'!$D$4*0.1</f>
        <v>12.3</v>
      </c>
    </row>
    <row r="15" spans="1:15" x14ac:dyDescent="0.25">
      <c r="A15" s="39" t="s">
        <v>5</v>
      </c>
      <c r="B15" s="15">
        <v>46090</v>
      </c>
      <c r="C15" s="18">
        <f>Table1419[[#This Row],[Extremely Low Income
(Maximum 30% AMI) - Annual Limit]]/12</f>
        <v>3840.8333333333335</v>
      </c>
      <c r="D15" s="17">
        <f>'TLS RA Calculator'!$D$4*0.4</f>
        <v>49.2</v>
      </c>
      <c r="E15" s="13">
        <f>'TLS RA Calculator'!$D$4*0.3</f>
        <v>36.9</v>
      </c>
      <c r="F15" s="13">
        <f>'TLS RA Calculator'!$D$4*0.25</f>
        <v>30.75</v>
      </c>
      <c r="G15" s="13">
        <f>'TLS RA Calculator'!$D$4*0.2</f>
        <v>24.6</v>
      </c>
      <c r="H15" s="13">
        <f>'TLS RA Calculator'!$D$4*0.1</f>
        <v>12.3</v>
      </c>
      <c r="I15" s="18">
        <f>'TLS RA Calculator'!$D$4*0.1</f>
        <v>12.3</v>
      </c>
    </row>
    <row r="16" spans="1:15" x14ac:dyDescent="0.25">
      <c r="A16" s="39" t="s">
        <v>7</v>
      </c>
      <c r="B16" s="15">
        <v>49970</v>
      </c>
      <c r="C16" s="18">
        <f>Table1419[[#This Row],[Extremely Low Income
(Maximum 30% AMI) - Annual Limit]]/12</f>
        <v>4164.166666666667</v>
      </c>
      <c r="D16" s="17">
        <f>'TLS RA Calculator'!$D$4*0.4</f>
        <v>49.2</v>
      </c>
      <c r="E16" s="13">
        <f>'TLS RA Calculator'!$D$4*0.3</f>
        <v>36.9</v>
      </c>
      <c r="F16" s="13">
        <f>'TLS RA Calculator'!$D$4*0.25</f>
        <v>30.75</v>
      </c>
      <c r="G16" s="13">
        <f>'TLS RA Calculator'!$D$4*0.2</f>
        <v>24.6</v>
      </c>
      <c r="H16" s="13">
        <f>'TLS RA Calculator'!$D$4*0.1</f>
        <v>12.3</v>
      </c>
      <c r="I16" s="18">
        <f>'TLS RA Calculator'!$D$4*0.1</f>
        <v>12.3</v>
      </c>
    </row>
    <row r="17" spans="1:9" x14ac:dyDescent="0.25">
      <c r="A17" s="39" t="s">
        <v>8</v>
      </c>
      <c r="B17" s="15">
        <v>53650</v>
      </c>
      <c r="C17" s="18">
        <f>Table1419[[#This Row],[Extremely Low Income
(Maximum 30% AMI) - Annual Limit]]/12</f>
        <v>4470.833333333333</v>
      </c>
      <c r="D17" s="17">
        <f>'TLS RA Calculator'!$D$4*0.4</f>
        <v>49.2</v>
      </c>
      <c r="E17" s="13">
        <f>'TLS RA Calculator'!$D$4*0.3</f>
        <v>36.9</v>
      </c>
      <c r="F17" s="13">
        <f>'TLS RA Calculator'!$D$4*0.25</f>
        <v>30.75</v>
      </c>
      <c r="G17" s="13">
        <f>'TLS RA Calculator'!$D$4*0.2</f>
        <v>24.6</v>
      </c>
      <c r="H17" s="13">
        <f>'TLS RA Calculator'!$D$4*0.1</f>
        <v>12.3</v>
      </c>
      <c r="I17" s="18">
        <f>'TLS RA Calculator'!$D$4*0.1</f>
        <v>12.3</v>
      </c>
    </row>
    <row r="18" spans="1:9" x14ac:dyDescent="0.25">
      <c r="A18" s="39" t="s">
        <v>9</v>
      </c>
      <c r="B18" s="15">
        <v>57330</v>
      </c>
      <c r="C18" s="18">
        <f>Table1419[[#This Row],[Extremely Low Income
(Maximum 30% AMI) - Annual Limit]]/12</f>
        <v>4777.5</v>
      </c>
      <c r="D18" s="17">
        <f>'TLS RA Calculator'!$D$4*0.4</f>
        <v>49.2</v>
      </c>
      <c r="E18" s="13">
        <f>'TLS RA Calculator'!$D$4*0.3</f>
        <v>36.9</v>
      </c>
      <c r="F18" s="13">
        <f>'TLS RA Calculator'!$D$4*0.25</f>
        <v>30.75</v>
      </c>
      <c r="G18" s="13">
        <f>'TLS RA Calculator'!$D$4*0.2</f>
        <v>24.6</v>
      </c>
      <c r="H18" s="13">
        <f>'TLS RA Calculator'!$D$4*0.1</f>
        <v>12.3</v>
      </c>
      <c r="I18" s="18">
        <f>'TLS RA Calculator'!$D$4*0.1</f>
        <v>12.3</v>
      </c>
    </row>
    <row r="19" spans="1:9" ht="16.5" thickBot="1" x14ac:dyDescent="0.3">
      <c r="A19" s="41" t="s">
        <v>10</v>
      </c>
      <c r="B19" s="47">
        <v>61010</v>
      </c>
      <c r="C19" s="21">
        <f>Table1419[[#This Row],[Extremely Low Income
(Maximum 30% AMI) - Annual Limit]]/12</f>
        <v>5084.166666666667</v>
      </c>
      <c r="D19" s="19">
        <f>'TLS RA Calculator'!$D$4*0.4</f>
        <v>49.2</v>
      </c>
      <c r="E19" s="20">
        <f>'TLS RA Calculator'!$D$4*0.3</f>
        <v>36.9</v>
      </c>
      <c r="F19" s="20">
        <f>'TLS RA Calculator'!$D$4*0.25</f>
        <v>30.75</v>
      </c>
      <c r="G19" s="20">
        <f>'TLS RA Calculator'!$D$4*0.2</f>
        <v>24.6</v>
      </c>
      <c r="H19" s="20">
        <f>'TLS RA Calculator'!$D$4*0.1</f>
        <v>12.3</v>
      </c>
      <c r="I19" s="21">
        <f>'TLS RA Calculator'!$D$4*0.1</f>
        <v>12.3</v>
      </c>
    </row>
  </sheetData>
  <sheetProtection algorithmName="SHA-512" hashValue="vV/NPj1HQ/59I7oYPidJLSwC1uYGrYAEhimrvjcaf1/ef+Ws5x65aFmcRzZY9M79vJbAT/MhJcdAeXrqSL7Ylw==" saltValue="dt4QS/lpODYcSbf3mtXnjQ==" spinCount="100000" sheet="1" objects="1" scenarios="1" selectLockedCells="1" selectUnlockedCells="1"/>
  <pageMargins left="0.7" right="0.7" top="0.75" bottom="0.75" header="0.3" footer="0.3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B8E86-85D7-47F2-9242-24AFD36C36FD}">
  <dimension ref="A1:O9"/>
  <sheetViews>
    <sheetView workbookViewId="0">
      <selection activeCell="E59" sqref="E59"/>
    </sheetView>
  </sheetViews>
  <sheetFormatPr defaultColWidth="15.5" defaultRowHeight="15.75" x14ac:dyDescent="0.25"/>
  <sheetData>
    <row r="1" spans="1:15" s="1" customFormat="1" ht="63.75" thickBot="1" x14ac:dyDescent="0.3">
      <c r="A1" s="80" t="s">
        <v>52</v>
      </c>
      <c r="B1" s="81" t="s">
        <v>59</v>
      </c>
      <c r="C1" s="82" t="s">
        <v>60</v>
      </c>
      <c r="D1" s="78" t="s">
        <v>11</v>
      </c>
      <c r="E1" s="76" t="s">
        <v>12</v>
      </c>
      <c r="F1" s="76" t="s">
        <v>13</v>
      </c>
      <c r="G1" s="76" t="s">
        <v>14</v>
      </c>
      <c r="H1" s="76" t="s">
        <v>15</v>
      </c>
      <c r="I1" s="76" t="s">
        <v>16</v>
      </c>
      <c r="J1" s="76" t="s">
        <v>17</v>
      </c>
      <c r="K1" s="76" t="s">
        <v>18</v>
      </c>
      <c r="L1" s="76" t="s">
        <v>19</v>
      </c>
      <c r="M1" s="76" t="s">
        <v>20</v>
      </c>
      <c r="N1" s="76" t="s">
        <v>21</v>
      </c>
      <c r="O1" s="79" t="s">
        <v>22</v>
      </c>
    </row>
    <row r="2" spans="1:15" x14ac:dyDescent="0.25">
      <c r="A2" s="83">
        <v>1</v>
      </c>
      <c r="B2" s="37">
        <v>54050</v>
      </c>
      <c r="C2" s="38">
        <f>Table13[[#This Row],[Very Low Income
(Maximum 50% AMI) - Annual Limit]]/12</f>
        <v>4504.166666666667</v>
      </c>
      <c r="D2" s="33">
        <f>'TLS RA Calculator'!$D$4*1</f>
        <v>123</v>
      </c>
      <c r="E2" s="34">
        <f>'TLS RA Calculator'!$D$4*0.7</f>
        <v>86.1</v>
      </c>
      <c r="F2" s="34">
        <f>'TLS RA Calculator'!$D$4*0.6</f>
        <v>73.8</v>
      </c>
      <c r="G2" s="34">
        <f>'TLS RA Calculator'!$D$4*0.6</f>
        <v>73.8</v>
      </c>
      <c r="H2" s="34">
        <f>'TLS RA Calculator'!$D$4*0.5</f>
        <v>61.5</v>
      </c>
      <c r="I2" s="34">
        <f>'TLS RA Calculator'!$D$4*0.5</f>
        <v>61.5</v>
      </c>
      <c r="J2" s="34">
        <f>'TLS RA Calculator'!$D$4*0.4</f>
        <v>49.2</v>
      </c>
      <c r="K2" s="34">
        <f>'TLS RA Calculator'!$D$4*0.4</f>
        <v>49.2</v>
      </c>
      <c r="L2" s="34">
        <f>'TLS RA Calculator'!$D$4*0.3</f>
        <v>36.9</v>
      </c>
      <c r="M2" s="34">
        <f>'TLS RA Calculator'!$D$4*0.3</f>
        <v>36.9</v>
      </c>
      <c r="N2" s="34">
        <f>'TLS RA Calculator'!$D$4*0.2</f>
        <v>24.6</v>
      </c>
      <c r="O2" s="56">
        <f>'TLS RA Calculator'!$D$4*0.1</f>
        <v>12.3</v>
      </c>
    </row>
    <row r="3" spans="1:15" x14ac:dyDescent="0.25">
      <c r="A3" s="84">
        <v>2</v>
      </c>
      <c r="B3" s="12">
        <v>61750</v>
      </c>
      <c r="C3" s="40">
        <f>Table13[[#This Row],[Very Low Income
(Maximum 50% AMI) - Annual Limit]]/12</f>
        <v>5145.833333333333</v>
      </c>
      <c r="D3" s="17">
        <f>'TLS RA Calculator'!$D$4*1</f>
        <v>123</v>
      </c>
      <c r="E3" s="13">
        <f>'TLS RA Calculator'!$D$4*0.7</f>
        <v>86.1</v>
      </c>
      <c r="F3" s="13">
        <f>'TLS RA Calculator'!$D$4*0.6</f>
        <v>73.8</v>
      </c>
      <c r="G3" s="13">
        <f>'TLS RA Calculator'!$D$4*0.6</f>
        <v>73.8</v>
      </c>
      <c r="H3" s="13">
        <f>'TLS RA Calculator'!$D$4*0.5</f>
        <v>61.5</v>
      </c>
      <c r="I3" s="13">
        <f>'TLS RA Calculator'!$D$4*0.5</f>
        <v>61.5</v>
      </c>
      <c r="J3" s="13">
        <f>'TLS RA Calculator'!$D$4*0.4</f>
        <v>49.2</v>
      </c>
      <c r="K3" s="13">
        <f>'TLS RA Calculator'!$D$4*0.4</f>
        <v>49.2</v>
      </c>
      <c r="L3" s="13">
        <f>'TLS RA Calculator'!$D$4*0.3</f>
        <v>36.9</v>
      </c>
      <c r="M3" s="13">
        <f>'TLS RA Calculator'!$D$4*0.3</f>
        <v>36.9</v>
      </c>
      <c r="N3" s="13">
        <f>'TLS RA Calculator'!$D$4*0.2</f>
        <v>24.6</v>
      </c>
      <c r="O3" s="16">
        <f>'TLS RA Calculator'!$D$4*0.1</f>
        <v>12.3</v>
      </c>
    </row>
    <row r="4" spans="1:15" x14ac:dyDescent="0.25">
      <c r="A4" s="84">
        <v>3</v>
      </c>
      <c r="B4" s="12">
        <v>69450</v>
      </c>
      <c r="C4" s="40">
        <f>Table13[[#This Row],[Very Low Income
(Maximum 50% AMI) - Annual Limit]]/12</f>
        <v>5787.5</v>
      </c>
      <c r="D4" s="17">
        <f>'TLS RA Calculator'!$D$4*1</f>
        <v>123</v>
      </c>
      <c r="E4" s="13">
        <f>'TLS RA Calculator'!$D$4*0.7</f>
        <v>86.1</v>
      </c>
      <c r="F4" s="13">
        <f>'TLS RA Calculator'!$D$4*0.6</f>
        <v>73.8</v>
      </c>
      <c r="G4" s="13">
        <f>'TLS RA Calculator'!$D$4*0.6</f>
        <v>73.8</v>
      </c>
      <c r="H4" s="13">
        <f>'TLS RA Calculator'!$D$4*0.5</f>
        <v>61.5</v>
      </c>
      <c r="I4" s="13">
        <f>'TLS RA Calculator'!$D$4*0.5</f>
        <v>61.5</v>
      </c>
      <c r="J4" s="13">
        <f>'TLS RA Calculator'!$D$4*0.4</f>
        <v>49.2</v>
      </c>
      <c r="K4" s="13">
        <f>'TLS RA Calculator'!$D$4*0.4</f>
        <v>49.2</v>
      </c>
      <c r="L4" s="13">
        <f>'TLS RA Calculator'!$D$4*0.3</f>
        <v>36.9</v>
      </c>
      <c r="M4" s="13">
        <f>'TLS RA Calculator'!$D$4*0.3</f>
        <v>36.9</v>
      </c>
      <c r="N4" s="13">
        <f>'TLS RA Calculator'!$D$4*0.2</f>
        <v>24.6</v>
      </c>
      <c r="O4" s="16">
        <f>'TLS RA Calculator'!$D$4*0.1</f>
        <v>12.3</v>
      </c>
    </row>
    <row r="5" spans="1:15" x14ac:dyDescent="0.25">
      <c r="A5" s="84">
        <v>4</v>
      </c>
      <c r="B5" s="12">
        <v>77550</v>
      </c>
      <c r="C5" s="40">
        <f>Table13[[#This Row],[Very Low Income
(Maximum 50% AMI) - Annual Limit]]/12</f>
        <v>6462.5</v>
      </c>
      <c r="D5" s="17">
        <f>'TLS RA Calculator'!$D$4*1</f>
        <v>123</v>
      </c>
      <c r="E5" s="13">
        <f>'TLS RA Calculator'!$D$4*0.7</f>
        <v>86.1</v>
      </c>
      <c r="F5" s="13">
        <f>'TLS RA Calculator'!$D$4*0.6</f>
        <v>73.8</v>
      </c>
      <c r="G5" s="13">
        <f>'TLS RA Calculator'!$D$4*0.6</f>
        <v>73.8</v>
      </c>
      <c r="H5" s="13">
        <f>'TLS RA Calculator'!$D$4*0.5</f>
        <v>61.5</v>
      </c>
      <c r="I5" s="13">
        <f>'TLS RA Calculator'!$D$4*0.5</f>
        <v>61.5</v>
      </c>
      <c r="J5" s="13">
        <f>'TLS RA Calculator'!$D$4*0.4</f>
        <v>49.2</v>
      </c>
      <c r="K5" s="13">
        <f>'TLS RA Calculator'!$D$4*0.4</f>
        <v>49.2</v>
      </c>
      <c r="L5" s="13">
        <f>'TLS RA Calculator'!$D$4*0.3</f>
        <v>36.9</v>
      </c>
      <c r="M5" s="13">
        <f>'TLS RA Calculator'!$D$4*0.3</f>
        <v>36.9</v>
      </c>
      <c r="N5" s="13">
        <f>'TLS RA Calculator'!$D$4*0.2</f>
        <v>24.6</v>
      </c>
      <c r="O5" s="16">
        <f>'TLS RA Calculator'!$D$4*0.1</f>
        <v>12.3</v>
      </c>
    </row>
    <row r="6" spans="1:15" x14ac:dyDescent="0.25">
      <c r="A6" s="84">
        <v>5</v>
      </c>
      <c r="B6" s="12">
        <v>83300</v>
      </c>
      <c r="C6" s="40">
        <f>Table13[[#This Row],[Very Low Income
(Maximum 50% AMI) - Annual Limit]]/12</f>
        <v>6941.666666666667</v>
      </c>
      <c r="D6" s="17">
        <f>'TLS RA Calculator'!$D$4*1</f>
        <v>123</v>
      </c>
      <c r="E6" s="13">
        <f>'TLS RA Calculator'!$D$4*0.7</f>
        <v>86.1</v>
      </c>
      <c r="F6" s="13">
        <f>'TLS RA Calculator'!$D$4*0.6</f>
        <v>73.8</v>
      </c>
      <c r="G6" s="13">
        <f>'TLS RA Calculator'!$D$4*0.6</f>
        <v>73.8</v>
      </c>
      <c r="H6" s="13">
        <f>'TLS RA Calculator'!$D$4*0.5</f>
        <v>61.5</v>
      </c>
      <c r="I6" s="13">
        <f>'TLS RA Calculator'!$D$4*0.5</f>
        <v>61.5</v>
      </c>
      <c r="J6" s="13">
        <f>'TLS RA Calculator'!$D$4*0.4</f>
        <v>49.2</v>
      </c>
      <c r="K6" s="13">
        <f>'TLS RA Calculator'!$D$4*0.4</f>
        <v>49.2</v>
      </c>
      <c r="L6" s="13">
        <f>'TLS RA Calculator'!$D$4*0.3</f>
        <v>36.9</v>
      </c>
      <c r="M6" s="13">
        <f>'TLS RA Calculator'!$D$4*0.3</f>
        <v>36.9</v>
      </c>
      <c r="N6" s="13">
        <f>'TLS RA Calculator'!$D$4*0.2</f>
        <v>24.6</v>
      </c>
      <c r="O6" s="16">
        <f>'TLS RA Calculator'!$D$4*0.1</f>
        <v>12.3</v>
      </c>
    </row>
    <row r="7" spans="1:15" x14ac:dyDescent="0.25">
      <c r="A7" s="84">
        <v>6</v>
      </c>
      <c r="B7" s="12">
        <v>89050</v>
      </c>
      <c r="C7" s="40">
        <f>Table13[[#This Row],[Very Low Income
(Maximum 50% AMI) - Annual Limit]]/12</f>
        <v>7420.833333333333</v>
      </c>
      <c r="D7" s="17">
        <f>'TLS RA Calculator'!$D$4*1</f>
        <v>123</v>
      </c>
      <c r="E7" s="13">
        <f>'TLS RA Calculator'!$D$4*0.7</f>
        <v>86.1</v>
      </c>
      <c r="F7" s="13">
        <f>'TLS RA Calculator'!$D$4*0.6</f>
        <v>73.8</v>
      </c>
      <c r="G7" s="13">
        <f>'TLS RA Calculator'!$D$4*0.6</f>
        <v>73.8</v>
      </c>
      <c r="H7" s="13">
        <f>'TLS RA Calculator'!$D$4*0.5</f>
        <v>61.5</v>
      </c>
      <c r="I7" s="13">
        <f>'TLS RA Calculator'!$D$4*0.5</f>
        <v>61.5</v>
      </c>
      <c r="J7" s="13">
        <f>'TLS RA Calculator'!$D$4*0.4</f>
        <v>49.2</v>
      </c>
      <c r="K7" s="13">
        <f>'TLS RA Calculator'!$D$4*0.4</f>
        <v>49.2</v>
      </c>
      <c r="L7" s="13">
        <f>'TLS RA Calculator'!$D$4*0.3</f>
        <v>36.9</v>
      </c>
      <c r="M7" s="13">
        <f>'TLS RA Calculator'!$D$4*0.3</f>
        <v>36.9</v>
      </c>
      <c r="N7" s="13">
        <f>'TLS RA Calculator'!$D$4*0.2</f>
        <v>24.6</v>
      </c>
      <c r="O7" s="16">
        <f>'TLS RA Calculator'!$D$4*0.1</f>
        <v>12.3</v>
      </c>
    </row>
    <row r="8" spans="1:15" x14ac:dyDescent="0.25">
      <c r="A8" s="84">
        <v>7</v>
      </c>
      <c r="B8" s="12">
        <v>94800</v>
      </c>
      <c r="C8" s="40">
        <f>Table13[[#This Row],[Very Low Income
(Maximum 50% AMI) - Annual Limit]]/12</f>
        <v>7900</v>
      </c>
      <c r="D8" s="17">
        <f>'TLS RA Calculator'!$D$4*1</f>
        <v>123</v>
      </c>
      <c r="E8" s="13">
        <f>'TLS RA Calculator'!$D$4*0.7</f>
        <v>86.1</v>
      </c>
      <c r="F8" s="13">
        <f>'TLS RA Calculator'!$D$4*0.6</f>
        <v>73.8</v>
      </c>
      <c r="G8" s="13">
        <f>'TLS RA Calculator'!$D$4*0.6</f>
        <v>73.8</v>
      </c>
      <c r="H8" s="13">
        <f>'TLS RA Calculator'!$D$4*0.5</f>
        <v>61.5</v>
      </c>
      <c r="I8" s="13">
        <f>'TLS RA Calculator'!$D$4*0.5</f>
        <v>61.5</v>
      </c>
      <c r="J8" s="13">
        <f>'TLS RA Calculator'!$D$4*0.4</f>
        <v>49.2</v>
      </c>
      <c r="K8" s="13">
        <f>'TLS RA Calculator'!$D$4*0.4</f>
        <v>49.2</v>
      </c>
      <c r="L8" s="13">
        <f>'TLS RA Calculator'!$D$4*0.3</f>
        <v>36.9</v>
      </c>
      <c r="M8" s="13">
        <f>'TLS RA Calculator'!$D$4*0.3</f>
        <v>36.9</v>
      </c>
      <c r="N8" s="13">
        <f>'TLS RA Calculator'!$D$4*0.2</f>
        <v>24.6</v>
      </c>
      <c r="O8" s="16">
        <f>'TLS RA Calculator'!$D$4*0.1</f>
        <v>12.3</v>
      </c>
    </row>
    <row r="9" spans="1:15" x14ac:dyDescent="0.25">
      <c r="A9" s="85">
        <v>8</v>
      </c>
      <c r="B9" s="57">
        <v>100550</v>
      </c>
      <c r="C9" s="58">
        <f>Table13[[#This Row],[Very Low Income
(Maximum 50% AMI) - Annual Limit]]/12</f>
        <v>8379.1666666666661</v>
      </c>
      <c r="D9" s="53">
        <f>'TLS RA Calculator'!$D$4*1</f>
        <v>123</v>
      </c>
      <c r="E9" s="54">
        <f>'TLS RA Calculator'!$D$4*0.7</f>
        <v>86.1</v>
      </c>
      <c r="F9" s="54">
        <f>'TLS RA Calculator'!$D$4*0.6</f>
        <v>73.8</v>
      </c>
      <c r="G9" s="54">
        <f>'TLS RA Calculator'!$D$4*0.6</f>
        <v>73.8</v>
      </c>
      <c r="H9" s="54">
        <f>'TLS RA Calculator'!$D$4*0.5</f>
        <v>61.5</v>
      </c>
      <c r="I9" s="54">
        <f>'TLS RA Calculator'!$D$4*0.5</f>
        <v>61.5</v>
      </c>
      <c r="J9" s="54">
        <f>'TLS RA Calculator'!$D$4*0.4</f>
        <v>49.2</v>
      </c>
      <c r="K9" s="54">
        <f>'TLS RA Calculator'!$D$4*0.4</f>
        <v>49.2</v>
      </c>
      <c r="L9" s="54">
        <f>'TLS RA Calculator'!$D$4*0.3</f>
        <v>36.9</v>
      </c>
      <c r="M9" s="54">
        <f>'TLS RA Calculator'!$D$4*0.3</f>
        <v>36.9</v>
      </c>
      <c r="N9" s="54">
        <f>'TLS RA Calculator'!$D$4*0.2</f>
        <v>24.6</v>
      </c>
      <c r="O9" s="55">
        <f>'TLS RA Calculator'!$D$4*0.1</f>
        <v>12.3</v>
      </c>
    </row>
  </sheetData>
  <sheetProtection algorithmName="SHA-512" hashValue="vsdei9PjKELOF8f1KuzlRZoVidZcI8GK7iNdCd2DRn4g1FolUNAEBvWmWNhNwWWfs2l0V3S6O8+cCJ6zC8PnqA==" saltValue="1ws/M0GCi5HBZqj9aUGrUw==" spinCount="100000" sheet="1" objects="1" scenarios="1" selectLockedCells="1" selectUnlockedCells="1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8CD64-6FBD-C846-92DA-FB52630DA4E5}">
  <dimension ref="A1:Y33"/>
  <sheetViews>
    <sheetView workbookViewId="0">
      <selection activeCell="E59" sqref="E59"/>
    </sheetView>
  </sheetViews>
  <sheetFormatPr defaultColWidth="15.5" defaultRowHeight="15.75" x14ac:dyDescent="0.25"/>
  <sheetData>
    <row r="1" spans="1:25" s="1" customFormat="1" x14ac:dyDescent="0.25">
      <c r="A1" s="1" t="s">
        <v>48</v>
      </c>
      <c r="B1" s="1" t="s">
        <v>11</v>
      </c>
      <c r="C1" s="1" t="s">
        <v>12</v>
      </c>
      <c r="D1" s="1" t="s">
        <v>13</v>
      </c>
      <c r="E1" s="1" t="s">
        <v>14</v>
      </c>
      <c r="F1" s="1" t="s">
        <v>15</v>
      </c>
      <c r="G1" s="1" t="s">
        <v>16</v>
      </c>
      <c r="H1" s="1" t="s">
        <v>17</v>
      </c>
      <c r="I1" s="1" t="s">
        <v>18</v>
      </c>
      <c r="J1" s="1" t="s">
        <v>19</v>
      </c>
      <c r="K1" s="1" t="s">
        <v>20</v>
      </c>
      <c r="L1" s="1" t="s">
        <v>21</v>
      </c>
      <c r="M1" s="1" t="s">
        <v>22</v>
      </c>
      <c r="N1" s="1" t="s">
        <v>24</v>
      </c>
      <c r="O1" s="1" t="s">
        <v>25</v>
      </c>
      <c r="P1" s="1" t="s">
        <v>26</v>
      </c>
      <c r="Q1" s="1" t="s">
        <v>27</v>
      </c>
      <c r="R1" s="1" t="s">
        <v>28</v>
      </c>
      <c r="S1" s="1" t="s">
        <v>29</v>
      </c>
      <c r="T1" s="1" t="s">
        <v>30</v>
      </c>
      <c r="U1" s="1" t="s">
        <v>31</v>
      </c>
      <c r="V1" s="1" t="s">
        <v>32</v>
      </c>
      <c r="W1" s="1" t="s">
        <v>33</v>
      </c>
      <c r="X1" s="1" t="s">
        <v>34</v>
      </c>
      <c r="Y1" s="1" t="s">
        <v>23</v>
      </c>
    </row>
    <row r="2" spans="1:25" x14ac:dyDescent="0.25">
      <c r="A2">
        <v>1</v>
      </c>
      <c r="B2" s="2">
        <f>'TLS RA Calculator'!D$4*1</f>
        <v>123</v>
      </c>
      <c r="C2" s="2">
        <f>'TLS RA Calculator'!$D$4*1</f>
        <v>123</v>
      </c>
      <c r="D2" s="2">
        <f>'TLS RA Calculator'!$D$4*0.85</f>
        <v>104.55</v>
      </c>
      <c r="E2" s="2">
        <f>'TLS RA Calculator'!$D$4*0.7</f>
        <v>86.1</v>
      </c>
      <c r="F2" s="2">
        <f>'TLS RA Calculator'!$D$4*0.65</f>
        <v>79.95</v>
      </c>
      <c r="G2" s="2">
        <f>'TLS RA Calculator'!$D$4*0.6</f>
        <v>73.8</v>
      </c>
      <c r="H2" s="2">
        <f>'TLS RA Calculator'!$D$4*0.55</f>
        <v>67.650000000000006</v>
      </c>
      <c r="I2" s="2">
        <f>'TLS RA Calculator'!$D4*0.55</f>
        <v>67.650000000000006</v>
      </c>
      <c r="J2" s="2">
        <f>'TLS RA Calculator'!$D$4*0.5</f>
        <v>61.5</v>
      </c>
      <c r="K2" s="2">
        <f>'TLS RA Calculator'!$D$4*0.5</f>
        <v>61.5</v>
      </c>
      <c r="L2" s="2">
        <f>'TLS RA Calculator'!$D$4*0.45</f>
        <v>55.35</v>
      </c>
      <c r="M2" s="2">
        <f>'TLS RA Calculator'!$D$4*0.45</f>
        <v>55.35</v>
      </c>
      <c r="N2" s="2">
        <f>'TLS RA Calculator'!$D$4*0.4</f>
        <v>49.2</v>
      </c>
      <c r="O2" s="2">
        <f>'TLS RA Calculator'!$D$4*0.4</f>
        <v>49.2</v>
      </c>
      <c r="P2" s="2">
        <f>'TLS RA Calculator'!$D$4*0.35</f>
        <v>43.05</v>
      </c>
      <c r="Q2" s="2">
        <f>'TLS RA Calculator'!$D$4*0.35</f>
        <v>43.05</v>
      </c>
      <c r="R2" s="2">
        <f>'TLS RA Calculator'!$D$4*0.3</f>
        <v>36.9</v>
      </c>
      <c r="S2" s="2">
        <f>'TLS RA Calculator'!$D$4*0.3</f>
        <v>36.9</v>
      </c>
      <c r="T2" s="2">
        <f>'TLS RA Calculator'!$D$4*0.25</f>
        <v>30.75</v>
      </c>
      <c r="U2" s="2">
        <f>'TLS RA Calculator'!$D$4*0.25</f>
        <v>30.75</v>
      </c>
      <c r="V2" s="2">
        <f>'TLS RA Calculator'!$D$4*0.2</f>
        <v>24.6</v>
      </c>
      <c r="W2" s="2">
        <f>'TLS RA Calculator'!$D$4*0.2</f>
        <v>24.6</v>
      </c>
      <c r="X2" s="2">
        <f>'TLS RA Calculator'!$D$4*0.15</f>
        <v>18.45</v>
      </c>
      <c r="Y2" s="2">
        <f>'TLS RA Calculator'!$D$4*0.1</f>
        <v>12.3</v>
      </c>
    </row>
    <row r="3" spans="1:25" x14ac:dyDescent="0.25">
      <c r="A3">
        <v>2</v>
      </c>
      <c r="B3" s="2">
        <f>'TLS RA Calculator'!$D$4*1</f>
        <v>123</v>
      </c>
      <c r="C3" s="2">
        <f>'TLS RA Calculator'!$D$4*0.85</f>
        <v>104.55</v>
      </c>
      <c r="D3" s="2">
        <f>'TLS RA Calculator'!$D$4*0.7</f>
        <v>86.1</v>
      </c>
      <c r="E3" s="2">
        <f>'TLS RA Calculator'!$D$4*0.65</f>
        <v>79.95</v>
      </c>
      <c r="F3" s="2">
        <f>'TLS RA Calculator'!$D$4*0.6</f>
        <v>73.8</v>
      </c>
      <c r="G3" s="2">
        <f>'TLS RA Calculator'!$D$4*0.6</f>
        <v>73.8</v>
      </c>
      <c r="H3" s="2">
        <f>'TLS RA Calculator'!$D$4*0.55</f>
        <v>67.650000000000006</v>
      </c>
      <c r="I3" s="2">
        <f>'TLS RA Calculator'!$D$4*0.55</f>
        <v>67.650000000000006</v>
      </c>
      <c r="J3" s="2">
        <f>'TLS RA Calculator'!$D$4*0.5</f>
        <v>61.5</v>
      </c>
      <c r="K3" s="2">
        <f>'TLS RA Calculator'!$D$4*0.5</f>
        <v>61.5</v>
      </c>
      <c r="L3" s="2">
        <f>'TLS RA Calculator'!$D$4*0.45</f>
        <v>55.35</v>
      </c>
      <c r="M3" s="2">
        <f>'TLS RA Calculator'!$D$4*0.45</f>
        <v>55.35</v>
      </c>
      <c r="N3" s="2">
        <f>'TLS RA Calculator'!$D$4*0.4</f>
        <v>49.2</v>
      </c>
      <c r="O3" s="2">
        <f>'TLS RA Calculator'!$D$4*0.3</f>
        <v>36.9</v>
      </c>
      <c r="P3" s="2">
        <f>'TLS RA Calculator'!$D$4*0.25</f>
        <v>30.75</v>
      </c>
      <c r="Q3" s="2">
        <f>'TLS RA Calculator'!$D$4*0.2</f>
        <v>24.6</v>
      </c>
      <c r="R3" s="2">
        <f>'TLS RA Calculator'!$D$4*0.1</f>
        <v>12.3</v>
      </c>
      <c r="S3" s="2">
        <f>'TLS RA Calculator'!$D$4*0.1</f>
        <v>12.3</v>
      </c>
      <c r="T3" s="2"/>
      <c r="U3" s="2"/>
      <c r="V3" s="2"/>
      <c r="W3" s="2"/>
      <c r="X3" s="2"/>
      <c r="Y3" s="2"/>
    </row>
    <row r="4" spans="1:25" x14ac:dyDescent="0.25">
      <c r="A4">
        <v>3</v>
      </c>
      <c r="B4" s="2">
        <f>'TLS RA Calculator'!$D$4*1</f>
        <v>123</v>
      </c>
      <c r="C4" s="2">
        <f>'TLS RA Calculator'!$D$4*0.7</f>
        <v>86.1</v>
      </c>
      <c r="D4" s="2">
        <f>'TLS RA Calculator'!$D$4*0.6</f>
        <v>73.8</v>
      </c>
      <c r="E4" s="2">
        <f>'TLS RA Calculator'!$D$4*0.6</f>
        <v>73.8</v>
      </c>
      <c r="F4" s="2">
        <f>'TLS RA Calculator'!$D$4*0.5</f>
        <v>61.5</v>
      </c>
      <c r="G4" s="2">
        <f>'TLS RA Calculator'!$D$4*0.5</f>
        <v>61.5</v>
      </c>
      <c r="H4" s="2">
        <f>'TLS RA Calculator'!$D$4*0.4</f>
        <v>49.2</v>
      </c>
      <c r="I4" s="2">
        <f>'TLS RA Calculator'!$D$4*0.4</f>
        <v>49.2</v>
      </c>
      <c r="J4" s="2">
        <f>'TLS RA Calculator'!$D$4*0.3</f>
        <v>36.9</v>
      </c>
      <c r="K4" s="2">
        <f>'TLS RA Calculator'!$D$4*0.3</f>
        <v>36.9</v>
      </c>
      <c r="L4" s="2">
        <f>'TLS RA Calculator'!$D$4*0.2</f>
        <v>24.6</v>
      </c>
      <c r="M4" s="2">
        <f>'TLS RA Calculator'!$D$4*0.1</f>
        <v>12.3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7" spans="1:25" x14ac:dyDescent="0.25">
      <c r="A7" s="9" t="s">
        <v>47</v>
      </c>
      <c r="B7" s="9" cm="1">
        <f t="array" ref="B7">_xlfn.XLOOKUP('TLS RA Calculator'!D5, INDEX(Table15[#Data],,MATCH('TLS RA Calculator'!D3&amp;" Persons",Table15[#Headers],0)), Table1611[Tracks],, 1)</f>
        <v>1</v>
      </c>
    </row>
    <row r="8" spans="1:25" x14ac:dyDescent="0.25">
      <c r="H8" t="s">
        <v>41</v>
      </c>
      <c r="I8" t="s">
        <v>41</v>
      </c>
      <c r="J8" t="s">
        <v>41</v>
      </c>
    </row>
    <row r="9" spans="1:25" x14ac:dyDescent="0.25">
      <c r="G9" t="s">
        <v>35</v>
      </c>
      <c r="H9">
        <v>1</v>
      </c>
      <c r="I9">
        <v>2</v>
      </c>
      <c r="J9">
        <v>3</v>
      </c>
    </row>
    <row r="10" spans="1:25" x14ac:dyDescent="0.25">
      <c r="G10">
        <v>1</v>
      </c>
      <c r="H10">
        <v>100</v>
      </c>
      <c r="I10">
        <v>100</v>
      </c>
      <c r="J10">
        <v>100</v>
      </c>
    </row>
    <row r="11" spans="1:25" x14ac:dyDescent="0.25">
      <c r="G11">
        <v>2</v>
      </c>
      <c r="H11">
        <v>100</v>
      </c>
      <c r="I11">
        <v>85</v>
      </c>
      <c r="J11">
        <v>70</v>
      </c>
    </row>
    <row r="12" spans="1:25" x14ac:dyDescent="0.25">
      <c r="G12">
        <v>3</v>
      </c>
      <c r="H12">
        <v>85</v>
      </c>
      <c r="I12">
        <v>70</v>
      </c>
      <c r="J12">
        <v>60</v>
      </c>
    </row>
    <row r="13" spans="1:25" x14ac:dyDescent="0.25">
      <c r="G13">
        <v>4</v>
      </c>
      <c r="H13">
        <v>70</v>
      </c>
      <c r="I13">
        <v>65</v>
      </c>
      <c r="J13">
        <v>60</v>
      </c>
    </row>
    <row r="14" spans="1:25" x14ac:dyDescent="0.25">
      <c r="G14">
        <v>5</v>
      </c>
      <c r="H14">
        <v>65</v>
      </c>
      <c r="I14">
        <v>60</v>
      </c>
      <c r="J14">
        <v>50</v>
      </c>
    </row>
    <row r="15" spans="1:25" x14ac:dyDescent="0.25">
      <c r="G15">
        <v>6</v>
      </c>
      <c r="H15">
        <v>60</v>
      </c>
      <c r="I15">
        <v>60</v>
      </c>
      <c r="J15">
        <v>50</v>
      </c>
    </row>
    <row r="16" spans="1:25" x14ac:dyDescent="0.25">
      <c r="G16">
        <v>7</v>
      </c>
      <c r="H16">
        <v>55</v>
      </c>
      <c r="I16">
        <v>55</v>
      </c>
      <c r="J16">
        <v>40</v>
      </c>
    </row>
    <row r="17" spans="2:10" x14ac:dyDescent="0.25">
      <c r="G17">
        <v>8</v>
      </c>
      <c r="H17">
        <v>55</v>
      </c>
      <c r="I17">
        <v>55</v>
      </c>
      <c r="J17">
        <v>40</v>
      </c>
    </row>
    <row r="18" spans="2:10" x14ac:dyDescent="0.25">
      <c r="G18">
        <v>9</v>
      </c>
      <c r="H18">
        <v>50</v>
      </c>
      <c r="I18">
        <v>50</v>
      </c>
      <c r="J18">
        <v>30</v>
      </c>
    </row>
    <row r="19" spans="2:10" x14ac:dyDescent="0.25">
      <c r="G19">
        <v>10</v>
      </c>
      <c r="H19">
        <v>50</v>
      </c>
      <c r="I19">
        <v>50</v>
      </c>
      <c r="J19">
        <v>30</v>
      </c>
    </row>
    <row r="20" spans="2:10" x14ac:dyDescent="0.25">
      <c r="G20">
        <v>11</v>
      </c>
      <c r="H20">
        <v>45</v>
      </c>
      <c r="I20">
        <v>45</v>
      </c>
      <c r="J20">
        <v>20</v>
      </c>
    </row>
    <row r="21" spans="2:10" x14ac:dyDescent="0.25">
      <c r="B21" t="s">
        <v>43</v>
      </c>
      <c r="G21">
        <v>12</v>
      </c>
      <c r="H21">
        <v>45</v>
      </c>
      <c r="I21">
        <v>45</v>
      </c>
      <c r="J21">
        <v>10</v>
      </c>
    </row>
    <row r="22" spans="2:10" x14ac:dyDescent="0.25">
      <c r="B22" t="s">
        <v>37</v>
      </c>
      <c r="G22">
        <v>13</v>
      </c>
      <c r="H22">
        <v>40</v>
      </c>
      <c r="I22">
        <v>40</v>
      </c>
    </row>
    <row r="23" spans="2:10" x14ac:dyDescent="0.25">
      <c r="B23" t="s">
        <v>38</v>
      </c>
      <c r="G23">
        <v>14</v>
      </c>
      <c r="H23">
        <v>40</v>
      </c>
      <c r="I23">
        <v>30</v>
      </c>
    </row>
    <row r="24" spans="2:10" x14ac:dyDescent="0.25">
      <c r="B24" t="s">
        <v>39</v>
      </c>
      <c r="G24">
        <v>15</v>
      </c>
      <c r="H24">
        <v>35</v>
      </c>
      <c r="I24">
        <v>25</v>
      </c>
    </row>
    <row r="25" spans="2:10" x14ac:dyDescent="0.25">
      <c r="B25" t="s">
        <v>40</v>
      </c>
      <c r="G25">
        <v>16</v>
      </c>
      <c r="H25">
        <v>35</v>
      </c>
      <c r="I25">
        <v>20</v>
      </c>
    </row>
    <row r="26" spans="2:10" x14ac:dyDescent="0.25">
      <c r="G26">
        <v>17</v>
      </c>
      <c r="H26">
        <v>30</v>
      </c>
      <c r="I26">
        <v>10</v>
      </c>
    </row>
    <row r="27" spans="2:10" x14ac:dyDescent="0.25">
      <c r="G27">
        <v>18</v>
      </c>
      <c r="H27">
        <v>30</v>
      </c>
      <c r="I27">
        <v>10</v>
      </c>
    </row>
    <row r="28" spans="2:10" x14ac:dyDescent="0.25">
      <c r="G28">
        <v>19</v>
      </c>
      <c r="H28">
        <v>25</v>
      </c>
    </row>
    <row r="29" spans="2:10" x14ac:dyDescent="0.25">
      <c r="G29">
        <v>20</v>
      </c>
      <c r="H29">
        <v>25</v>
      </c>
    </row>
    <row r="30" spans="2:10" x14ac:dyDescent="0.25">
      <c r="G30">
        <v>21</v>
      </c>
      <c r="H30">
        <v>20</v>
      </c>
    </row>
    <row r="31" spans="2:10" x14ac:dyDescent="0.25">
      <c r="G31">
        <v>22</v>
      </c>
      <c r="H31">
        <v>20</v>
      </c>
    </row>
    <row r="32" spans="2:10" x14ac:dyDescent="0.25">
      <c r="G32">
        <v>23</v>
      </c>
      <c r="H32">
        <v>15</v>
      </c>
    </row>
    <row r="33" spans="7:8" x14ac:dyDescent="0.25">
      <c r="G33">
        <v>24</v>
      </c>
      <c r="H33">
        <v>10</v>
      </c>
    </row>
  </sheetData>
  <sheetProtection algorithmName="SHA-512" hashValue="E+cDqX4oxHVTKP6qq244ukMajuwekRoSX7wOqWT8LVu5e/A8qh2r77lseyq2l49c3/q3wO4OXwxVNwCbjpw/+g==" saltValue="oK4T2j4B1JcaGcoMzBakQQ==" spinCount="100000" sheet="1" objects="1" scenarios="1" selectLockedCells="1" selectUnlockedCells="1"/>
  <phoneticPr fontId="6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0ff63e77-fd58-457b-9634-00b460e903d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5E1BD16A8E364E90340E40D7740483" ma:contentTypeVersion="12" ma:contentTypeDescription="Create a new document." ma:contentTypeScope="" ma:versionID="c05051ce2b5446aafe00a5a25257c05d">
  <xsd:schema xmlns:xsd="http://www.w3.org/2001/XMLSchema" xmlns:xs="http://www.w3.org/2001/XMLSchema" xmlns:p="http://schemas.microsoft.com/office/2006/metadata/properties" xmlns:ns1="http://schemas.microsoft.com/sharepoint/v3" xmlns:ns2="0ff63e77-fd58-457b-9634-00b460e903d8" targetNamespace="http://schemas.microsoft.com/office/2006/metadata/properties" ma:root="true" ma:fieldsID="a35ce6e72015fe7f434813c48706da25" ns1:_="" ns2:_="">
    <xsd:import namespace="http://schemas.microsoft.com/sharepoint/v3"/>
    <xsd:import namespace="0ff63e77-fd58-457b-9634-00b460e903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63e77-fd58-457b-9634-00b460e903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0377eeec-9545-4db6-a5b8-3c28df25bf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36BB5DC-BD44-4816-98B1-3A1F6AAE9CC2}">
  <ds:schemaRefs>
    <ds:schemaRef ds:uri="http://schemas.microsoft.com/office/2006/metadata/properties"/>
    <ds:schemaRef ds:uri="http://schemas.openxmlformats.org/package/2006/metadata/core-properties"/>
    <ds:schemaRef ds:uri="http://purl.org/dc/terms/"/>
    <ds:schemaRef ds:uri="0ff63e77-fd58-457b-9634-00b460e903d8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microsoft.com/sharepoint/v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24948CC-2834-4C5D-8CFB-F42A2A2BE32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624D82-5637-4F0A-9642-52A51BB8AD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ff63e77-fd58-457b-9634-00b460e903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TLS RA Calculator</vt:lpstr>
      <vt:lpstr>2026 AMI LA County</vt:lpstr>
      <vt:lpstr>Track 1 TLS RA Schedule</vt:lpstr>
      <vt:lpstr>Track 2 TLS RA Schedule</vt:lpstr>
      <vt:lpstr>Track 3 TLS RA Schedule</vt:lpstr>
      <vt:lpstr>Reference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Gonzalez</dc:creator>
  <cp:lastModifiedBy>Oisin O'Shaughnessy</cp:lastModifiedBy>
  <dcterms:created xsi:type="dcterms:W3CDTF">2026-06-01T15:44:15Z</dcterms:created>
  <dcterms:modified xsi:type="dcterms:W3CDTF">2026-06-04T00:21:20Z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0x010100A95E1BD16A8E364E90340E40D7740483</vt:lpwstr>
  </property>
  <property fmtid="{D5CDD505-2E9C-101B-9397-08002B2CF9AE}" pid="3" name="MediaServiceImageTags">
    <vt:lpwstr/>
  </property>
</Properties>
</file>